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G:\01.07 DAC\2. RESTRINGIDO\PÁGINA WEB\2022\SIMULADOR\NCMV\"/>
    </mc:Choice>
  </mc:AlternateContent>
  <xr:revisionPtr revIDLastSave="0" documentId="13_ncr:1_{4BAFDB43-7248-4338-9DDC-65FA2978688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imulador" sheetId="1" r:id="rId1"/>
    <sheet name="Cronograma" sheetId="3" state="hidden" r:id="rId2"/>
  </sheets>
  <definedNames>
    <definedName name="Cronograma">Simulador!#REF!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M37" i="1" l="1"/>
  <c r="L37" i="1"/>
  <c r="P12" i="1"/>
  <c r="K10" i="1"/>
  <c r="O44" i="1"/>
  <c r="P44" i="1" s="1"/>
  <c r="L29" i="1"/>
  <c r="F20" i="1" s="1"/>
  <c r="G10" i="3"/>
  <c r="F41" i="1"/>
  <c r="N34" i="1"/>
  <c r="P19" i="1"/>
  <c r="L19" i="1"/>
  <c r="N19" i="1" s="1"/>
  <c r="G35" i="1"/>
  <c r="I36" i="1"/>
  <c r="B10" i="3"/>
  <c r="B11" i="3" s="1"/>
  <c r="B12" i="3" s="1"/>
  <c r="D1" i="3"/>
  <c r="I52" i="1"/>
  <c r="J34" i="1"/>
  <c r="J54" i="1"/>
  <c r="F19" i="1" l="1"/>
  <c r="G11" i="3"/>
  <c r="G13" i="3"/>
  <c r="B13" i="3"/>
  <c r="G12" i="3"/>
  <c r="F23" i="1" l="1"/>
  <c r="B14" i="3"/>
  <c r="G14" i="3"/>
  <c r="F28" i="1" l="1"/>
  <c r="H36" i="1" s="1"/>
  <c r="G15" i="3"/>
  <c r="B15" i="3"/>
  <c r="L25" i="1" l="1"/>
  <c r="M31" i="1"/>
  <c r="F35" i="1"/>
  <c r="M40" i="1" s="1"/>
  <c r="G16" i="3"/>
  <c r="B16" i="3"/>
  <c r="K45" i="1" l="1"/>
  <c r="L47" i="1"/>
  <c r="L51" i="1" s="1"/>
  <c r="L54" i="1" s="1"/>
  <c r="G17" i="3"/>
  <c r="B17" i="3"/>
  <c r="F37" i="1" l="1"/>
  <c r="D16" i="3" s="1"/>
  <c r="B18" i="3"/>
  <c r="G18" i="3"/>
  <c r="L35" i="1" l="1"/>
  <c r="D17" i="3"/>
  <c r="I15" i="3"/>
  <c r="I16" i="3"/>
  <c r="I12" i="3"/>
  <c r="D15" i="3"/>
  <c r="D12" i="3"/>
  <c r="I18" i="3"/>
  <c r="C9" i="3"/>
  <c r="C10" i="3" s="1"/>
  <c r="F10" i="3" s="1"/>
  <c r="E10" i="3" s="1"/>
  <c r="D13" i="3"/>
  <c r="L40" i="1"/>
  <c r="I11" i="3"/>
  <c r="D14" i="3"/>
  <c r="I13" i="3"/>
  <c r="AD29" i="1"/>
  <c r="I14" i="3"/>
  <c r="D11" i="3"/>
  <c r="I17" i="3"/>
  <c r="D10" i="3"/>
  <c r="I10" i="3"/>
  <c r="D18" i="3"/>
  <c r="G19" i="3"/>
  <c r="I19" i="3" s="1"/>
  <c r="B19" i="3"/>
  <c r="F49" i="1" l="1"/>
  <c r="F51" i="1" s="1"/>
  <c r="AC45" i="1"/>
  <c r="F53" i="1"/>
  <c r="K8" i="3" s="1"/>
  <c r="H10" i="3"/>
  <c r="C11" i="3" s="1"/>
  <c r="H11" i="3" s="1"/>
  <c r="C12" i="3" s="1"/>
  <c r="D19" i="3"/>
  <c r="G20" i="3"/>
  <c r="I20" i="3" s="1"/>
  <c r="B20" i="3"/>
  <c r="F11" i="3" l="1"/>
  <c r="E11" i="3" s="1"/>
  <c r="H12" i="3"/>
  <c r="C13" i="3" s="1"/>
  <c r="F12" i="3"/>
  <c r="E12" i="3" s="1"/>
  <c r="D20" i="3"/>
  <c r="G21" i="3"/>
  <c r="I21" i="3" s="1"/>
  <c r="B21" i="3"/>
  <c r="F13" i="3" l="1"/>
  <c r="E13" i="3" s="1"/>
  <c r="H13" i="3"/>
  <c r="C14" i="3" s="1"/>
  <c r="D21" i="3"/>
  <c r="G22" i="3"/>
  <c r="I22" i="3" s="1"/>
  <c r="B22" i="3"/>
  <c r="F14" i="3" l="1"/>
  <c r="E14" i="3" s="1"/>
  <c r="H14" i="3"/>
  <c r="C15" i="3" s="1"/>
  <c r="B23" i="3"/>
  <c r="G23" i="3"/>
  <c r="I23" i="3" s="1"/>
  <c r="D22" i="3"/>
  <c r="F15" i="3" l="1"/>
  <c r="E15" i="3" s="1"/>
  <c r="H15" i="3"/>
  <c r="C16" i="3" s="1"/>
  <c r="B24" i="3"/>
  <c r="D23" i="3"/>
  <c r="G24" i="3"/>
  <c r="I24" i="3" s="1"/>
  <c r="F16" i="3" l="1"/>
  <c r="E16" i="3" s="1"/>
  <c r="H16" i="3"/>
  <c r="C17" i="3" s="1"/>
  <c r="B25" i="3"/>
  <c r="D24" i="3"/>
  <c r="G25" i="3"/>
  <c r="I25" i="3" s="1"/>
  <c r="F17" i="3" l="1"/>
  <c r="E17" i="3" s="1"/>
  <c r="H17" i="3"/>
  <c r="C18" i="3" s="1"/>
  <c r="D25" i="3"/>
  <c r="G26" i="3"/>
  <c r="I26" i="3" s="1"/>
  <c r="B26" i="3"/>
  <c r="F18" i="3" l="1"/>
  <c r="E18" i="3" s="1"/>
  <c r="H18" i="3"/>
  <c r="C19" i="3" s="1"/>
  <c r="B27" i="3"/>
  <c r="G27" i="3"/>
  <c r="I27" i="3" s="1"/>
  <c r="D26" i="3"/>
  <c r="H19" i="3" l="1"/>
  <c r="C20" i="3" s="1"/>
  <c r="F19" i="3"/>
  <c r="E19" i="3" s="1"/>
  <c r="D27" i="3"/>
  <c r="G28" i="3"/>
  <c r="I28" i="3" s="1"/>
  <c r="B28" i="3"/>
  <c r="H20" i="3" l="1"/>
  <c r="C21" i="3" s="1"/>
  <c r="F20" i="3"/>
  <c r="E20" i="3" s="1"/>
  <c r="D28" i="3"/>
  <c r="G29" i="3"/>
  <c r="I29" i="3" s="1"/>
  <c r="B29" i="3"/>
  <c r="H21" i="3" l="1"/>
  <c r="C22" i="3" s="1"/>
  <c r="F21" i="3"/>
  <c r="E21" i="3" s="1"/>
  <c r="B30" i="3"/>
  <c r="D29" i="3"/>
  <c r="G30" i="3"/>
  <c r="I30" i="3" s="1"/>
  <c r="H22" i="3" l="1"/>
  <c r="C23" i="3" s="1"/>
  <c r="F22" i="3"/>
  <c r="E22" i="3" s="1"/>
  <c r="D30" i="3"/>
  <c r="G31" i="3"/>
  <c r="I31" i="3" s="1"/>
  <c r="B31" i="3"/>
  <c r="F23" i="3" l="1"/>
  <c r="E23" i="3" s="1"/>
  <c r="H23" i="3"/>
  <c r="C24" i="3" s="1"/>
  <c r="B32" i="3"/>
  <c r="D31" i="3"/>
  <c r="G32" i="3"/>
  <c r="I32" i="3" s="1"/>
  <c r="F24" i="3" l="1"/>
  <c r="E24" i="3" s="1"/>
  <c r="H24" i="3"/>
  <c r="C25" i="3" s="1"/>
  <c r="D32" i="3"/>
  <c r="G33" i="3"/>
  <c r="I33" i="3" s="1"/>
  <c r="B33" i="3"/>
  <c r="H25" i="3" l="1"/>
  <c r="C26" i="3" s="1"/>
  <c r="F25" i="3"/>
  <c r="E25" i="3" s="1"/>
  <c r="B34" i="3"/>
  <c r="D33" i="3"/>
  <c r="G34" i="3"/>
  <c r="I34" i="3" s="1"/>
  <c r="F26" i="3" l="1"/>
  <c r="E26" i="3" s="1"/>
  <c r="H26" i="3"/>
  <c r="C27" i="3" s="1"/>
  <c r="B35" i="3"/>
  <c r="D34" i="3"/>
  <c r="G35" i="3"/>
  <c r="I35" i="3" s="1"/>
  <c r="F27" i="3" l="1"/>
  <c r="E27" i="3" s="1"/>
  <c r="H27" i="3"/>
  <c r="C28" i="3" s="1"/>
  <c r="B36" i="3"/>
  <c r="D35" i="3"/>
  <c r="G36" i="3"/>
  <c r="I36" i="3" s="1"/>
  <c r="F28" i="3" l="1"/>
  <c r="E28" i="3" s="1"/>
  <c r="H28" i="3"/>
  <c r="C29" i="3" s="1"/>
  <c r="B37" i="3"/>
  <c r="G37" i="3"/>
  <c r="I37" i="3" s="1"/>
  <c r="D36" i="3"/>
  <c r="H29" i="3" l="1"/>
  <c r="C30" i="3" s="1"/>
  <c r="F29" i="3"/>
  <c r="E29" i="3" s="1"/>
  <c r="B38" i="3"/>
  <c r="G38" i="3"/>
  <c r="I38" i="3" s="1"/>
  <c r="D37" i="3"/>
  <c r="H30" i="3" l="1"/>
  <c r="C31" i="3" s="1"/>
  <c r="F30" i="3"/>
  <c r="E30" i="3" s="1"/>
  <c r="B39" i="3"/>
  <c r="G39" i="3"/>
  <c r="I39" i="3" s="1"/>
  <c r="D38" i="3"/>
  <c r="F31" i="3" l="1"/>
  <c r="E31" i="3" s="1"/>
  <c r="H31" i="3"/>
  <c r="C32" i="3" s="1"/>
  <c r="D39" i="3"/>
  <c r="G40" i="3"/>
  <c r="I40" i="3" s="1"/>
  <c r="B40" i="3"/>
  <c r="F32" i="3" l="1"/>
  <c r="E32" i="3" s="1"/>
  <c r="H32" i="3"/>
  <c r="C33" i="3" s="1"/>
  <c r="B41" i="3"/>
  <c r="D40" i="3"/>
  <c r="G41" i="3"/>
  <c r="I41" i="3" s="1"/>
  <c r="F33" i="3" l="1"/>
  <c r="E33" i="3" s="1"/>
  <c r="H33" i="3"/>
  <c r="C34" i="3" s="1"/>
  <c r="B42" i="3"/>
  <c r="D41" i="3"/>
  <c r="G42" i="3"/>
  <c r="I42" i="3" s="1"/>
  <c r="F34" i="3" l="1"/>
  <c r="E34" i="3" s="1"/>
  <c r="H34" i="3"/>
  <c r="C35" i="3" s="1"/>
  <c r="B43" i="3"/>
  <c r="G43" i="3"/>
  <c r="I43" i="3" s="1"/>
  <c r="D42" i="3"/>
  <c r="F35" i="3" l="1"/>
  <c r="E35" i="3" s="1"/>
  <c r="H35" i="3"/>
  <c r="C36" i="3" s="1"/>
  <c r="B44" i="3"/>
  <c r="G44" i="3"/>
  <c r="I44" i="3" s="1"/>
  <c r="D43" i="3"/>
  <c r="H36" i="3" l="1"/>
  <c r="C37" i="3" s="1"/>
  <c r="F36" i="3"/>
  <c r="E36" i="3" s="1"/>
  <c r="B45" i="3"/>
  <c r="G45" i="3"/>
  <c r="I45" i="3" s="1"/>
  <c r="D44" i="3"/>
  <c r="H37" i="3" l="1"/>
  <c r="C38" i="3" s="1"/>
  <c r="F37" i="3"/>
  <c r="E37" i="3" s="1"/>
  <c r="B46" i="3"/>
  <c r="D45" i="3"/>
  <c r="G46" i="3"/>
  <c r="I46" i="3" s="1"/>
  <c r="H38" i="3" l="1"/>
  <c r="C39" i="3" s="1"/>
  <c r="F38" i="3"/>
  <c r="E38" i="3" s="1"/>
  <c r="B47" i="3"/>
  <c r="G47" i="3"/>
  <c r="I47" i="3" s="1"/>
  <c r="D46" i="3"/>
  <c r="F39" i="3" l="1"/>
  <c r="E39" i="3" s="1"/>
  <c r="H39" i="3"/>
  <c r="C40" i="3" s="1"/>
  <c r="B48" i="3"/>
  <c r="D47" i="3"/>
  <c r="G48" i="3"/>
  <c r="I48" i="3" s="1"/>
  <c r="H40" i="3" l="1"/>
  <c r="C41" i="3" s="1"/>
  <c r="F40" i="3"/>
  <c r="E40" i="3" s="1"/>
  <c r="D48" i="3"/>
  <c r="G49" i="3"/>
  <c r="I49" i="3" s="1"/>
  <c r="B49" i="3"/>
  <c r="F41" i="3" l="1"/>
  <c r="E41" i="3" s="1"/>
  <c r="H41" i="3"/>
  <c r="C42" i="3" s="1"/>
  <c r="B50" i="3"/>
  <c r="G50" i="3"/>
  <c r="I50" i="3" s="1"/>
  <c r="D49" i="3"/>
  <c r="H42" i="3" l="1"/>
  <c r="C43" i="3" s="1"/>
  <c r="F42" i="3"/>
  <c r="E42" i="3" s="1"/>
  <c r="D50" i="3"/>
  <c r="B51" i="3"/>
  <c r="G51" i="3"/>
  <c r="I51" i="3" s="1"/>
  <c r="F43" i="3" l="1"/>
  <c r="E43" i="3" s="1"/>
  <c r="H43" i="3"/>
  <c r="C44" i="3" s="1"/>
  <c r="B52" i="3"/>
  <c r="D51" i="3"/>
  <c r="G52" i="3"/>
  <c r="I52" i="3" s="1"/>
  <c r="H44" i="3" l="1"/>
  <c r="C45" i="3" s="1"/>
  <c r="F44" i="3"/>
  <c r="E44" i="3" s="1"/>
  <c r="B53" i="3"/>
  <c r="G53" i="3"/>
  <c r="I53" i="3" s="1"/>
  <c r="D52" i="3"/>
  <c r="H45" i="3" l="1"/>
  <c r="C46" i="3" s="1"/>
  <c r="F45" i="3"/>
  <c r="E45" i="3" s="1"/>
  <c r="B54" i="3"/>
  <c r="G54" i="3"/>
  <c r="I54" i="3" s="1"/>
  <c r="D53" i="3"/>
  <c r="F46" i="3" l="1"/>
  <c r="E46" i="3" s="1"/>
  <c r="H46" i="3"/>
  <c r="C47" i="3" s="1"/>
  <c r="B55" i="3"/>
  <c r="G55" i="3"/>
  <c r="I55" i="3" s="1"/>
  <c r="D54" i="3"/>
  <c r="F47" i="3" l="1"/>
  <c r="E47" i="3" s="1"/>
  <c r="H47" i="3"/>
  <c r="C48" i="3" s="1"/>
  <c r="B56" i="3"/>
  <c r="G56" i="3"/>
  <c r="I56" i="3" s="1"/>
  <c r="D55" i="3"/>
  <c r="F48" i="3" l="1"/>
  <c r="E48" i="3" s="1"/>
  <c r="H48" i="3"/>
  <c r="C49" i="3" s="1"/>
  <c r="B57" i="3"/>
  <c r="G57" i="3"/>
  <c r="I57" i="3" s="1"/>
  <c r="D56" i="3"/>
  <c r="F49" i="3" l="1"/>
  <c r="E49" i="3" s="1"/>
  <c r="H49" i="3"/>
  <c r="C50" i="3" s="1"/>
  <c r="B58" i="3"/>
  <c r="D57" i="3"/>
  <c r="G58" i="3"/>
  <c r="I58" i="3" s="1"/>
  <c r="H50" i="3" l="1"/>
  <c r="C51" i="3" s="1"/>
  <c r="F50" i="3"/>
  <c r="E50" i="3" s="1"/>
  <c r="B59" i="3"/>
  <c r="G59" i="3"/>
  <c r="I59" i="3" s="1"/>
  <c r="D58" i="3"/>
  <c r="H51" i="3" l="1"/>
  <c r="C52" i="3" s="1"/>
  <c r="F51" i="3"/>
  <c r="E51" i="3" s="1"/>
  <c r="D59" i="3"/>
  <c r="B60" i="3"/>
  <c r="G60" i="3"/>
  <c r="I60" i="3" s="1"/>
  <c r="F52" i="3" l="1"/>
  <c r="E52" i="3" s="1"/>
  <c r="H52" i="3"/>
  <c r="C53" i="3" s="1"/>
  <c r="D60" i="3"/>
  <c r="B61" i="3"/>
  <c r="G61" i="3"/>
  <c r="I61" i="3" s="1"/>
  <c r="F53" i="3" l="1"/>
  <c r="E53" i="3" s="1"/>
  <c r="H53" i="3"/>
  <c r="C54" i="3" s="1"/>
  <c r="B62" i="3"/>
  <c r="D61" i="3"/>
  <c r="G62" i="3"/>
  <c r="I62" i="3" s="1"/>
  <c r="H54" i="3" l="1"/>
  <c r="C55" i="3" s="1"/>
  <c r="F54" i="3"/>
  <c r="E54" i="3" s="1"/>
  <c r="D62" i="3"/>
  <c r="G63" i="3"/>
  <c r="I63" i="3" s="1"/>
  <c r="B63" i="3"/>
  <c r="F55" i="3" l="1"/>
  <c r="E55" i="3" s="1"/>
  <c r="H55" i="3"/>
  <c r="C56" i="3" s="1"/>
  <c r="G64" i="3"/>
  <c r="I64" i="3" s="1"/>
  <c r="D63" i="3"/>
  <c r="B64" i="3"/>
  <c r="F56" i="3" l="1"/>
  <c r="E56" i="3" s="1"/>
  <c r="H56" i="3"/>
  <c r="C57" i="3" s="1"/>
  <c r="B65" i="3"/>
  <c r="G65" i="3"/>
  <c r="I65" i="3" s="1"/>
  <c r="D64" i="3"/>
  <c r="F57" i="3" l="1"/>
  <c r="E57" i="3" s="1"/>
  <c r="H57" i="3"/>
  <c r="C58" i="3" s="1"/>
  <c r="G66" i="3"/>
  <c r="I66" i="3" s="1"/>
  <c r="D65" i="3"/>
  <c r="B66" i="3"/>
  <c r="F58" i="3" l="1"/>
  <c r="E58" i="3" s="1"/>
  <c r="H58" i="3"/>
  <c r="C59" i="3" s="1"/>
  <c r="D66" i="3"/>
  <c r="B67" i="3"/>
  <c r="G67" i="3"/>
  <c r="I67" i="3" s="1"/>
  <c r="H59" i="3" l="1"/>
  <c r="C60" i="3" s="1"/>
  <c r="F59" i="3"/>
  <c r="E59" i="3" s="1"/>
  <c r="B68" i="3"/>
  <c r="D67" i="3"/>
  <c r="G68" i="3"/>
  <c r="I68" i="3" s="1"/>
  <c r="F60" i="3" l="1"/>
  <c r="E60" i="3" s="1"/>
  <c r="H60" i="3"/>
  <c r="C61" i="3" s="1"/>
  <c r="B69" i="3"/>
  <c r="D68" i="3"/>
  <c r="G69" i="3"/>
  <c r="I69" i="3" s="1"/>
  <c r="H61" i="3" l="1"/>
  <c r="C62" i="3" s="1"/>
  <c r="F61" i="3"/>
  <c r="E61" i="3" s="1"/>
  <c r="B70" i="3"/>
  <c r="D69" i="3"/>
  <c r="G70" i="3"/>
  <c r="I70" i="3" s="1"/>
  <c r="F62" i="3" l="1"/>
  <c r="E62" i="3" s="1"/>
  <c r="H62" i="3"/>
  <c r="C63" i="3" s="1"/>
  <c r="D70" i="3"/>
  <c r="B71" i="3"/>
  <c r="G71" i="3"/>
  <c r="I71" i="3" s="1"/>
  <c r="H63" i="3" l="1"/>
  <c r="C64" i="3" s="1"/>
  <c r="F63" i="3"/>
  <c r="E63" i="3" s="1"/>
  <c r="G72" i="3"/>
  <c r="I72" i="3" s="1"/>
  <c r="D71" i="3"/>
  <c r="B72" i="3"/>
  <c r="F64" i="3" l="1"/>
  <c r="E64" i="3" s="1"/>
  <c r="H64" i="3"/>
  <c r="C65" i="3" s="1"/>
  <c r="B73" i="3"/>
  <c r="G73" i="3"/>
  <c r="I73" i="3" s="1"/>
  <c r="D72" i="3"/>
  <c r="F65" i="3" l="1"/>
  <c r="E65" i="3" s="1"/>
  <c r="H65" i="3"/>
  <c r="C66" i="3" s="1"/>
  <c r="D73" i="3"/>
  <c r="B74" i="3"/>
  <c r="G74" i="3"/>
  <c r="I74" i="3" s="1"/>
  <c r="F66" i="3" l="1"/>
  <c r="E66" i="3" s="1"/>
  <c r="H66" i="3"/>
  <c r="C67" i="3" s="1"/>
  <c r="B75" i="3"/>
  <c r="D74" i="3"/>
  <c r="G75" i="3"/>
  <c r="I75" i="3" s="1"/>
  <c r="F67" i="3" l="1"/>
  <c r="E67" i="3" s="1"/>
  <c r="H67" i="3"/>
  <c r="C68" i="3" s="1"/>
  <c r="B76" i="3"/>
  <c r="D75" i="3"/>
  <c r="G76" i="3"/>
  <c r="I76" i="3" s="1"/>
  <c r="F68" i="3" l="1"/>
  <c r="E68" i="3" s="1"/>
  <c r="H68" i="3"/>
  <c r="C69" i="3" s="1"/>
  <c r="B77" i="3"/>
  <c r="D76" i="3"/>
  <c r="G77" i="3"/>
  <c r="I77" i="3" s="1"/>
  <c r="F69" i="3" l="1"/>
  <c r="E69" i="3" s="1"/>
  <c r="H69" i="3"/>
  <c r="C70" i="3" s="1"/>
  <c r="B78" i="3"/>
  <c r="G78" i="3"/>
  <c r="I78" i="3" s="1"/>
  <c r="D77" i="3"/>
  <c r="H70" i="3" l="1"/>
  <c r="C71" i="3" s="1"/>
  <c r="F70" i="3"/>
  <c r="E70" i="3" s="1"/>
  <c r="B79" i="3"/>
  <c r="D78" i="3"/>
  <c r="G79" i="3"/>
  <c r="I79" i="3" s="1"/>
  <c r="H71" i="3" l="1"/>
  <c r="C72" i="3" s="1"/>
  <c r="F71" i="3"/>
  <c r="E71" i="3" s="1"/>
  <c r="B80" i="3"/>
  <c r="D79" i="3"/>
  <c r="G80" i="3"/>
  <c r="I80" i="3" s="1"/>
  <c r="F72" i="3" l="1"/>
  <c r="E72" i="3" s="1"/>
  <c r="H72" i="3"/>
  <c r="C73" i="3" s="1"/>
  <c r="B81" i="3"/>
  <c r="D80" i="3"/>
  <c r="G81" i="3"/>
  <c r="I81" i="3" s="1"/>
  <c r="H73" i="3" l="1"/>
  <c r="C74" i="3" s="1"/>
  <c r="F73" i="3"/>
  <c r="E73" i="3" s="1"/>
  <c r="D81" i="3"/>
  <c r="B82" i="3"/>
  <c r="G82" i="3"/>
  <c r="I82" i="3" s="1"/>
  <c r="F74" i="3" l="1"/>
  <c r="E74" i="3" s="1"/>
  <c r="H74" i="3"/>
  <c r="C75" i="3" s="1"/>
  <c r="B83" i="3"/>
  <c r="D82" i="3"/>
  <c r="G83" i="3"/>
  <c r="I83" i="3" s="1"/>
  <c r="F75" i="3" l="1"/>
  <c r="E75" i="3" s="1"/>
  <c r="H75" i="3"/>
  <c r="C76" i="3" s="1"/>
  <c r="B84" i="3"/>
  <c r="D83" i="3"/>
  <c r="G84" i="3"/>
  <c r="I84" i="3" s="1"/>
  <c r="H76" i="3" l="1"/>
  <c r="C77" i="3" s="1"/>
  <c r="F76" i="3"/>
  <c r="E76" i="3" s="1"/>
  <c r="B85" i="3"/>
  <c r="D84" i="3"/>
  <c r="G85" i="3"/>
  <c r="I85" i="3" s="1"/>
  <c r="F77" i="3" l="1"/>
  <c r="E77" i="3" s="1"/>
  <c r="H77" i="3"/>
  <c r="C78" i="3" s="1"/>
  <c r="B86" i="3"/>
  <c r="D85" i="3"/>
  <c r="G86" i="3"/>
  <c r="I86" i="3" s="1"/>
  <c r="F78" i="3" l="1"/>
  <c r="E78" i="3" s="1"/>
  <c r="H78" i="3"/>
  <c r="C79" i="3" s="1"/>
  <c r="B87" i="3"/>
  <c r="D86" i="3"/>
  <c r="G87" i="3"/>
  <c r="I87" i="3" s="1"/>
  <c r="F79" i="3" l="1"/>
  <c r="E79" i="3" s="1"/>
  <c r="H79" i="3"/>
  <c r="C80" i="3" s="1"/>
  <c r="D87" i="3"/>
  <c r="B88" i="3"/>
  <c r="G88" i="3"/>
  <c r="I88" i="3" s="1"/>
  <c r="F80" i="3" l="1"/>
  <c r="E80" i="3" s="1"/>
  <c r="H80" i="3"/>
  <c r="C81" i="3" s="1"/>
  <c r="G89" i="3"/>
  <c r="I89" i="3" s="1"/>
  <c r="B89" i="3"/>
  <c r="D88" i="3"/>
  <c r="F81" i="3" l="1"/>
  <c r="E81" i="3" s="1"/>
  <c r="H81" i="3"/>
  <c r="C82" i="3" s="1"/>
  <c r="B90" i="3"/>
  <c r="D89" i="3"/>
  <c r="G90" i="3"/>
  <c r="I90" i="3" s="1"/>
  <c r="F82" i="3" l="1"/>
  <c r="E82" i="3" s="1"/>
  <c r="H82" i="3"/>
  <c r="C83" i="3" s="1"/>
  <c r="D90" i="3"/>
  <c r="B91" i="3"/>
  <c r="G91" i="3"/>
  <c r="I91" i="3" s="1"/>
  <c r="F83" i="3" l="1"/>
  <c r="E83" i="3" s="1"/>
  <c r="H83" i="3"/>
  <c r="C84" i="3" s="1"/>
  <c r="G92" i="3"/>
  <c r="I92" i="3" s="1"/>
  <c r="D91" i="3"/>
  <c r="B92" i="3"/>
  <c r="H84" i="3" l="1"/>
  <c r="C85" i="3" s="1"/>
  <c r="F84" i="3"/>
  <c r="E84" i="3" s="1"/>
  <c r="G93" i="3"/>
  <c r="I93" i="3" s="1"/>
  <c r="D92" i="3"/>
  <c r="B93" i="3"/>
  <c r="F85" i="3" l="1"/>
  <c r="E85" i="3" s="1"/>
  <c r="H85" i="3"/>
  <c r="C86" i="3" s="1"/>
  <c r="G94" i="3"/>
  <c r="I94" i="3" s="1"/>
  <c r="D93" i="3"/>
  <c r="B94" i="3"/>
  <c r="H86" i="3" l="1"/>
  <c r="C87" i="3" s="1"/>
  <c r="F86" i="3"/>
  <c r="E86" i="3" s="1"/>
  <c r="D94" i="3"/>
  <c r="B95" i="3"/>
  <c r="G95" i="3"/>
  <c r="I95" i="3" s="1"/>
  <c r="F87" i="3" l="1"/>
  <c r="E87" i="3" s="1"/>
  <c r="H87" i="3"/>
  <c r="C88" i="3" s="1"/>
  <c r="D95" i="3"/>
  <c r="B96" i="3"/>
  <c r="G96" i="3"/>
  <c r="I96" i="3" s="1"/>
  <c r="F88" i="3" l="1"/>
  <c r="E88" i="3" s="1"/>
  <c r="H88" i="3"/>
  <c r="C89" i="3" s="1"/>
  <c r="D96" i="3"/>
  <c r="B97" i="3"/>
  <c r="G97" i="3"/>
  <c r="I97" i="3" s="1"/>
  <c r="H89" i="3" l="1"/>
  <c r="C90" i="3" s="1"/>
  <c r="F89" i="3"/>
  <c r="E89" i="3" s="1"/>
  <c r="D97" i="3"/>
  <c r="B98" i="3"/>
  <c r="G98" i="3"/>
  <c r="I98" i="3" s="1"/>
  <c r="F90" i="3" l="1"/>
  <c r="E90" i="3" s="1"/>
  <c r="H90" i="3"/>
  <c r="C91" i="3" s="1"/>
  <c r="D98" i="3"/>
  <c r="B99" i="3"/>
  <c r="G99" i="3"/>
  <c r="I99" i="3" s="1"/>
  <c r="F91" i="3" l="1"/>
  <c r="E91" i="3" s="1"/>
  <c r="H91" i="3"/>
  <c r="C92" i="3" s="1"/>
  <c r="D99" i="3"/>
  <c r="B100" i="3"/>
  <c r="G100" i="3"/>
  <c r="I100" i="3" s="1"/>
  <c r="F92" i="3" l="1"/>
  <c r="E92" i="3" s="1"/>
  <c r="H92" i="3"/>
  <c r="C93" i="3" s="1"/>
  <c r="D100" i="3"/>
  <c r="B101" i="3"/>
  <c r="G101" i="3"/>
  <c r="I101" i="3" s="1"/>
  <c r="F93" i="3" l="1"/>
  <c r="E93" i="3" s="1"/>
  <c r="H93" i="3"/>
  <c r="C94" i="3" s="1"/>
  <c r="D101" i="3"/>
  <c r="B102" i="3"/>
  <c r="G102" i="3"/>
  <c r="I102" i="3" s="1"/>
  <c r="H94" i="3" l="1"/>
  <c r="C95" i="3" s="1"/>
  <c r="F94" i="3"/>
  <c r="E94" i="3" s="1"/>
  <c r="D102" i="3"/>
  <c r="B103" i="3"/>
  <c r="G103" i="3"/>
  <c r="I103" i="3" s="1"/>
  <c r="H95" i="3" l="1"/>
  <c r="C96" i="3" s="1"/>
  <c r="F95" i="3"/>
  <c r="E95" i="3" s="1"/>
  <c r="G104" i="3"/>
  <c r="I104" i="3" s="1"/>
  <c r="D103" i="3"/>
  <c r="B104" i="3"/>
  <c r="H96" i="3" l="1"/>
  <c r="C97" i="3" s="1"/>
  <c r="F96" i="3"/>
  <c r="E96" i="3" s="1"/>
  <c r="D104" i="3"/>
  <c r="G105" i="3"/>
  <c r="I105" i="3" s="1"/>
  <c r="B105" i="3"/>
  <c r="F97" i="3" l="1"/>
  <c r="E97" i="3" s="1"/>
  <c r="H97" i="3"/>
  <c r="C98" i="3" s="1"/>
  <c r="G106" i="3"/>
  <c r="I106" i="3" s="1"/>
  <c r="D105" i="3"/>
  <c r="B106" i="3"/>
  <c r="F98" i="3" l="1"/>
  <c r="E98" i="3" s="1"/>
  <c r="H98" i="3"/>
  <c r="C99" i="3" s="1"/>
  <c r="G107" i="3"/>
  <c r="I107" i="3" s="1"/>
  <c r="B107" i="3"/>
  <c r="D106" i="3"/>
  <c r="F99" i="3" l="1"/>
  <c r="E99" i="3" s="1"/>
  <c r="H99" i="3"/>
  <c r="C100" i="3" s="1"/>
  <c r="D107" i="3"/>
  <c r="G108" i="3"/>
  <c r="I108" i="3" s="1"/>
  <c r="B108" i="3"/>
  <c r="F100" i="3" l="1"/>
  <c r="E100" i="3" s="1"/>
  <c r="H100" i="3"/>
  <c r="C101" i="3" s="1"/>
  <c r="D108" i="3"/>
  <c r="B109" i="3"/>
  <c r="G109" i="3"/>
  <c r="I109" i="3" s="1"/>
  <c r="H101" i="3" l="1"/>
  <c r="C102" i="3" s="1"/>
  <c r="F101" i="3"/>
  <c r="E101" i="3" s="1"/>
  <c r="D109" i="3"/>
  <c r="G110" i="3"/>
  <c r="I110" i="3" s="1"/>
  <c r="B110" i="3"/>
  <c r="F102" i="3" l="1"/>
  <c r="E102" i="3" s="1"/>
  <c r="H102" i="3"/>
  <c r="C103" i="3" s="1"/>
  <c r="D110" i="3"/>
  <c r="G111" i="3"/>
  <c r="I111" i="3" s="1"/>
  <c r="B111" i="3"/>
  <c r="H103" i="3" l="1"/>
  <c r="C104" i="3" s="1"/>
  <c r="F103" i="3"/>
  <c r="E103" i="3" s="1"/>
  <c r="B112" i="3"/>
  <c r="D111" i="3"/>
  <c r="G112" i="3"/>
  <c r="I112" i="3" s="1"/>
  <c r="F104" i="3" l="1"/>
  <c r="E104" i="3" s="1"/>
  <c r="H104" i="3"/>
  <c r="C105" i="3" s="1"/>
  <c r="B113" i="3"/>
  <c r="D112" i="3"/>
  <c r="G113" i="3"/>
  <c r="I113" i="3" s="1"/>
  <c r="F105" i="3" l="1"/>
  <c r="E105" i="3" s="1"/>
  <c r="H105" i="3"/>
  <c r="C106" i="3" s="1"/>
  <c r="D113" i="3"/>
  <c r="G114" i="3"/>
  <c r="I114" i="3" s="1"/>
  <c r="B114" i="3"/>
  <c r="H106" i="3" l="1"/>
  <c r="C107" i="3" s="1"/>
  <c r="F106" i="3"/>
  <c r="E106" i="3" s="1"/>
  <c r="D114" i="3"/>
  <c r="G115" i="3"/>
  <c r="I115" i="3" s="1"/>
  <c r="B115" i="3"/>
  <c r="H107" i="3" l="1"/>
  <c r="C108" i="3" s="1"/>
  <c r="F107" i="3"/>
  <c r="E107" i="3" s="1"/>
  <c r="D115" i="3"/>
  <c r="G116" i="3"/>
  <c r="I116" i="3" s="1"/>
  <c r="B116" i="3"/>
  <c r="F108" i="3" l="1"/>
  <c r="E108" i="3" s="1"/>
  <c r="H108" i="3"/>
  <c r="C109" i="3" s="1"/>
  <c r="B117" i="3"/>
  <c r="G117" i="3"/>
  <c r="I117" i="3" s="1"/>
  <c r="D116" i="3"/>
  <c r="H109" i="3" l="1"/>
  <c r="C110" i="3" s="1"/>
  <c r="F109" i="3"/>
  <c r="E109" i="3" s="1"/>
  <c r="B118" i="3"/>
  <c r="D117" i="3"/>
  <c r="G118" i="3"/>
  <c r="I118" i="3" s="1"/>
  <c r="F110" i="3" l="1"/>
  <c r="E110" i="3" s="1"/>
  <c r="H110" i="3"/>
  <c r="C111" i="3" s="1"/>
  <c r="G119" i="3"/>
  <c r="I119" i="3" s="1"/>
  <c r="B119" i="3"/>
  <c r="D118" i="3"/>
  <c r="F111" i="3" l="1"/>
  <c r="E111" i="3" s="1"/>
  <c r="H111" i="3"/>
  <c r="C112" i="3" s="1"/>
  <c r="D119" i="3"/>
  <c r="B120" i="3"/>
  <c r="G120" i="3"/>
  <c r="I120" i="3" s="1"/>
  <c r="F112" i="3" l="1"/>
  <c r="E112" i="3" s="1"/>
  <c r="H112" i="3"/>
  <c r="C113" i="3" s="1"/>
  <c r="D120" i="3"/>
  <c r="B121" i="3"/>
  <c r="G121" i="3"/>
  <c r="I121" i="3" s="1"/>
  <c r="H113" i="3" l="1"/>
  <c r="C114" i="3" s="1"/>
  <c r="F113" i="3"/>
  <c r="E113" i="3" s="1"/>
  <c r="B122" i="3"/>
  <c r="G122" i="3"/>
  <c r="I122" i="3" s="1"/>
  <c r="D121" i="3"/>
  <c r="H114" i="3" l="1"/>
  <c r="C115" i="3" s="1"/>
  <c r="F114" i="3"/>
  <c r="E114" i="3" s="1"/>
  <c r="D122" i="3"/>
  <c r="B123" i="3"/>
  <c r="G123" i="3"/>
  <c r="I123" i="3" s="1"/>
  <c r="H115" i="3" l="1"/>
  <c r="C116" i="3" s="1"/>
  <c r="F115" i="3"/>
  <c r="E115" i="3" s="1"/>
  <c r="D123" i="3"/>
  <c r="G124" i="3"/>
  <c r="I124" i="3" s="1"/>
  <c r="B124" i="3"/>
  <c r="H116" i="3" l="1"/>
  <c r="C117" i="3" s="1"/>
  <c r="F116" i="3"/>
  <c r="E116" i="3" s="1"/>
  <c r="D124" i="3"/>
  <c r="B125" i="3"/>
  <c r="G125" i="3"/>
  <c r="I125" i="3" s="1"/>
  <c r="H117" i="3" l="1"/>
  <c r="C118" i="3" s="1"/>
  <c r="F117" i="3"/>
  <c r="E117" i="3" s="1"/>
  <c r="D125" i="3"/>
  <c r="B126" i="3"/>
  <c r="G126" i="3"/>
  <c r="I126" i="3" s="1"/>
  <c r="F118" i="3" l="1"/>
  <c r="E118" i="3" s="1"/>
  <c r="H118" i="3"/>
  <c r="C119" i="3" s="1"/>
  <c r="D126" i="3"/>
  <c r="B127" i="3"/>
  <c r="G127" i="3"/>
  <c r="I127" i="3" s="1"/>
  <c r="F119" i="3" l="1"/>
  <c r="E119" i="3" s="1"/>
  <c r="H119" i="3"/>
  <c r="C120" i="3" s="1"/>
  <c r="B128" i="3"/>
  <c r="G128" i="3"/>
  <c r="I128" i="3" s="1"/>
  <c r="D127" i="3"/>
  <c r="H120" i="3" l="1"/>
  <c r="C121" i="3" s="1"/>
  <c r="F120" i="3"/>
  <c r="E120" i="3" s="1"/>
  <c r="D128" i="3"/>
  <c r="B129" i="3"/>
  <c r="G129" i="3"/>
  <c r="I129" i="3" s="1"/>
  <c r="F121" i="3" l="1"/>
  <c r="E121" i="3" s="1"/>
  <c r="H121" i="3"/>
  <c r="C122" i="3" s="1"/>
  <c r="B130" i="3"/>
  <c r="D129" i="3"/>
  <c r="G130" i="3"/>
  <c r="I130" i="3" s="1"/>
  <c r="H122" i="3" l="1"/>
  <c r="C123" i="3" s="1"/>
  <c r="F122" i="3"/>
  <c r="E122" i="3" s="1"/>
  <c r="B131" i="3"/>
  <c r="D130" i="3"/>
  <c r="G131" i="3"/>
  <c r="I131" i="3" s="1"/>
  <c r="F123" i="3" l="1"/>
  <c r="E123" i="3" s="1"/>
  <c r="H123" i="3"/>
  <c r="C124" i="3" s="1"/>
  <c r="B132" i="3"/>
  <c r="D131" i="3"/>
  <c r="G132" i="3"/>
  <c r="I132" i="3" s="1"/>
  <c r="H124" i="3" l="1"/>
  <c r="C125" i="3" s="1"/>
  <c r="F124" i="3"/>
  <c r="E124" i="3" s="1"/>
  <c r="B133" i="3"/>
  <c r="G133" i="3"/>
  <c r="I133" i="3" s="1"/>
  <c r="D132" i="3"/>
  <c r="H125" i="3" l="1"/>
  <c r="C126" i="3" s="1"/>
  <c r="F125" i="3"/>
  <c r="E125" i="3" s="1"/>
  <c r="G134" i="3"/>
  <c r="I134" i="3" s="1"/>
  <c r="D133" i="3"/>
  <c r="B134" i="3"/>
  <c r="H126" i="3" l="1"/>
  <c r="C127" i="3" s="1"/>
  <c r="F126" i="3"/>
  <c r="E126" i="3" s="1"/>
  <c r="B135" i="3"/>
  <c r="D134" i="3"/>
  <c r="G135" i="3"/>
  <c r="I135" i="3" s="1"/>
  <c r="H127" i="3" l="1"/>
  <c r="C128" i="3" s="1"/>
  <c r="F127" i="3"/>
  <c r="E127" i="3" s="1"/>
  <c r="D135" i="3"/>
  <c r="G136" i="3"/>
  <c r="I136" i="3" s="1"/>
  <c r="B136" i="3"/>
  <c r="H128" i="3" l="1"/>
  <c r="C129" i="3" s="1"/>
  <c r="F128" i="3"/>
  <c r="E128" i="3" s="1"/>
  <c r="B137" i="3"/>
  <c r="D136" i="3"/>
  <c r="G137" i="3"/>
  <c r="I137" i="3" s="1"/>
  <c r="H129" i="3" l="1"/>
  <c r="C130" i="3" s="1"/>
  <c r="F129" i="3"/>
  <c r="E129" i="3" s="1"/>
  <c r="G138" i="3"/>
  <c r="I138" i="3" s="1"/>
  <c r="D137" i="3"/>
  <c r="B138" i="3"/>
  <c r="H130" i="3" l="1"/>
  <c r="C131" i="3" s="1"/>
  <c r="F130" i="3"/>
  <c r="E130" i="3" s="1"/>
  <c r="G139" i="3"/>
  <c r="I139" i="3" s="1"/>
  <c r="D138" i="3"/>
  <c r="B139" i="3"/>
  <c r="F131" i="3" l="1"/>
  <c r="E131" i="3" s="1"/>
  <c r="H131" i="3"/>
  <c r="C132" i="3" s="1"/>
  <c r="G140" i="3"/>
  <c r="I140" i="3" s="1"/>
  <c r="D139" i="3"/>
  <c r="B140" i="3"/>
  <c r="F132" i="3" l="1"/>
  <c r="E132" i="3" s="1"/>
  <c r="H132" i="3"/>
  <c r="C133" i="3" s="1"/>
  <c r="G141" i="3"/>
  <c r="I141" i="3" s="1"/>
  <c r="D140" i="3"/>
  <c r="B141" i="3"/>
  <c r="F133" i="3" l="1"/>
  <c r="E133" i="3" s="1"/>
  <c r="H133" i="3"/>
  <c r="C134" i="3" s="1"/>
  <c r="G142" i="3"/>
  <c r="I142" i="3" s="1"/>
  <c r="D141" i="3"/>
  <c r="B142" i="3"/>
  <c r="H134" i="3" l="1"/>
  <c r="C135" i="3" s="1"/>
  <c r="F134" i="3"/>
  <c r="E134" i="3" s="1"/>
  <c r="D142" i="3"/>
  <c r="B143" i="3"/>
  <c r="G143" i="3"/>
  <c r="I143" i="3" s="1"/>
  <c r="F135" i="3" l="1"/>
  <c r="E135" i="3" s="1"/>
  <c r="H135" i="3"/>
  <c r="C136" i="3" s="1"/>
  <c r="D143" i="3"/>
  <c r="G144" i="3"/>
  <c r="I144" i="3" s="1"/>
  <c r="B144" i="3"/>
  <c r="H136" i="3" l="1"/>
  <c r="C137" i="3" s="1"/>
  <c r="F136" i="3"/>
  <c r="E136" i="3" s="1"/>
  <c r="G145" i="3"/>
  <c r="I145" i="3" s="1"/>
  <c r="B145" i="3"/>
  <c r="D144" i="3"/>
  <c r="H137" i="3" l="1"/>
  <c r="C138" i="3" s="1"/>
  <c r="F137" i="3"/>
  <c r="E137" i="3" s="1"/>
  <c r="D145" i="3"/>
  <c r="B146" i="3"/>
  <c r="G146" i="3"/>
  <c r="I146" i="3" s="1"/>
  <c r="H138" i="3" l="1"/>
  <c r="C139" i="3" s="1"/>
  <c r="F138" i="3"/>
  <c r="E138" i="3" s="1"/>
  <c r="D146" i="3"/>
  <c r="B147" i="3"/>
  <c r="G147" i="3"/>
  <c r="I147" i="3" s="1"/>
  <c r="H139" i="3" l="1"/>
  <c r="C140" i="3" s="1"/>
  <c r="F139" i="3"/>
  <c r="E139" i="3" s="1"/>
  <c r="D147" i="3"/>
  <c r="B148" i="3"/>
  <c r="G148" i="3"/>
  <c r="I148" i="3" s="1"/>
  <c r="F140" i="3" l="1"/>
  <c r="E140" i="3" s="1"/>
  <c r="H140" i="3"/>
  <c r="C141" i="3" s="1"/>
  <c r="G149" i="3"/>
  <c r="I149" i="3" s="1"/>
  <c r="B149" i="3"/>
  <c r="D148" i="3"/>
  <c r="F141" i="3" l="1"/>
  <c r="E141" i="3" s="1"/>
  <c r="H141" i="3"/>
  <c r="C142" i="3" s="1"/>
  <c r="G150" i="3"/>
  <c r="I150" i="3" s="1"/>
  <c r="B150" i="3"/>
  <c r="D149" i="3"/>
  <c r="F142" i="3" l="1"/>
  <c r="E142" i="3" s="1"/>
  <c r="H142" i="3"/>
  <c r="C143" i="3" s="1"/>
  <c r="B151" i="3"/>
  <c r="D150" i="3"/>
  <c r="G151" i="3"/>
  <c r="I151" i="3" s="1"/>
  <c r="H143" i="3" l="1"/>
  <c r="C144" i="3" s="1"/>
  <c r="F143" i="3"/>
  <c r="E143" i="3" s="1"/>
  <c r="D151" i="3"/>
  <c r="B152" i="3"/>
  <c r="G152" i="3"/>
  <c r="I152" i="3" s="1"/>
  <c r="F144" i="3" l="1"/>
  <c r="E144" i="3" s="1"/>
  <c r="H144" i="3"/>
  <c r="C145" i="3" s="1"/>
  <c r="D152" i="3"/>
  <c r="B153" i="3"/>
  <c r="G153" i="3"/>
  <c r="I153" i="3" s="1"/>
  <c r="F145" i="3" l="1"/>
  <c r="E145" i="3" s="1"/>
  <c r="H145" i="3"/>
  <c r="C146" i="3" s="1"/>
  <c r="B154" i="3"/>
  <c r="G154" i="3"/>
  <c r="I154" i="3" s="1"/>
  <c r="D153" i="3"/>
  <c r="F146" i="3" l="1"/>
  <c r="E146" i="3" s="1"/>
  <c r="H146" i="3"/>
  <c r="C147" i="3" s="1"/>
  <c r="B155" i="3"/>
  <c r="D154" i="3"/>
  <c r="G155" i="3"/>
  <c r="I155" i="3" s="1"/>
  <c r="H147" i="3" l="1"/>
  <c r="C148" i="3" s="1"/>
  <c r="F147" i="3"/>
  <c r="E147" i="3" s="1"/>
  <c r="B156" i="3"/>
  <c r="D155" i="3"/>
  <c r="G156" i="3"/>
  <c r="I156" i="3" s="1"/>
  <c r="H148" i="3" l="1"/>
  <c r="C149" i="3" s="1"/>
  <c r="F148" i="3"/>
  <c r="E148" i="3" s="1"/>
  <c r="G157" i="3"/>
  <c r="I157" i="3" s="1"/>
  <c r="B157" i="3"/>
  <c r="D156" i="3"/>
  <c r="H149" i="3" l="1"/>
  <c r="C150" i="3" s="1"/>
  <c r="F149" i="3"/>
  <c r="E149" i="3" s="1"/>
  <c r="G158" i="3"/>
  <c r="I158" i="3" s="1"/>
  <c r="D157" i="3"/>
  <c r="B158" i="3"/>
  <c r="F150" i="3" l="1"/>
  <c r="E150" i="3" s="1"/>
  <c r="H150" i="3"/>
  <c r="C151" i="3" s="1"/>
  <c r="B159" i="3"/>
  <c r="G159" i="3"/>
  <c r="I159" i="3" s="1"/>
  <c r="D158" i="3"/>
  <c r="F151" i="3" l="1"/>
  <c r="E151" i="3" s="1"/>
  <c r="H151" i="3"/>
  <c r="C152" i="3" s="1"/>
  <c r="B160" i="3"/>
  <c r="D159" i="3"/>
  <c r="G160" i="3"/>
  <c r="I160" i="3" s="1"/>
  <c r="F152" i="3" l="1"/>
  <c r="E152" i="3" s="1"/>
  <c r="H152" i="3"/>
  <c r="C153" i="3" s="1"/>
  <c r="G161" i="3"/>
  <c r="I161" i="3" s="1"/>
  <c r="D160" i="3"/>
  <c r="B161" i="3"/>
  <c r="F153" i="3" l="1"/>
  <c r="E153" i="3" s="1"/>
  <c r="H153" i="3"/>
  <c r="C154" i="3" s="1"/>
  <c r="B162" i="3"/>
  <c r="D161" i="3"/>
  <c r="G162" i="3"/>
  <c r="I162" i="3" s="1"/>
  <c r="H154" i="3" l="1"/>
  <c r="C155" i="3" s="1"/>
  <c r="F154" i="3"/>
  <c r="E154" i="3" s="1"/>
  <c r="D162" i="3"/>
  <c r="G163" i="3"/>
  <c r="I163" i="3" s="1"/>
  <c r="B163" i="3"/>
  <c r="F155" i="3" l="1"/>
  <c r="E155" i="3" s="1"/>
  <c r="H155" i="3"/>
  <c r="C156" i="3" s="1"/>
  <c r="B164" i="3"/>
  <c r="D163" i="3"/>
  <c r="G164" i="3"/>
  <c r="I164" i="3" s="1"/>
  <c r="H156" i="3" l="1"/>
  <c r="C157" i="3" s="1"/>
  <c r="F156" i="3"/>
  <c r="E156" i="3" s="1"/>
  <c r="B165" i="3"/>
  <c r="D164" i="3"/>
  <c r="G165" i="3"/>
  <c r="I165" i="3" s="1"/>
  <c r="H157" i="3" l="1"/>
  <c r="C158" i="3" s="1"/>
  <c r="F157" i="3"/>
  <c r="E157" i="3" s="1"/>
  <c r="G166" i="3"/>
  <c r="I166" i="3" s="1"/>
  <c r="D165" i="3"/>
  <c r="B166" i="3"/>
  <c r="F158" i="3" l="1"/>
  <c r="E158" i="3" s="1"/>
  <c r="H158" i="3"/>
  <c r="C159" i="3" s="1"/>
  <c r="D166" i="3"/>
  <c r="G167" i="3"/>
  <c r="I167" i="3" s="1"/>
  <c r="B167" i="3"/>
  <c r="F159" i="3" l="1"/>
  <c r="E159" i="3" s="1"/>
  <c r="H159" i="3"/>
  <c r="C160" i="3" s="1"/>
  <c r="D167" i="3"/>
  <c r="G168" i="3"/>
  <c r="I168" i="3" s="1"/>
  <c r="B168" i="3"/>
  <c r="H160" i="3" l="1"/>
  <c r="C161" i="3" s="1"/>
  <c r="F160" i="3"/>
  <c r="E160" i="3" s="1"/>
  <c r="B169" i="3"/>
  <c r="D168" i="3"/>
  <c r="G169" i="3"/>
  <c r="I169" i="3" s="1"/>
  <c r="H161" i="3" l="1"/>
  <c r="C162" i="3" s="1"/>
  <c r="F161" i="3"/>
  <c r="E161" i="3" s="1"/>
  <c r="G170" i="3"/>
  <c r="I170" i="3" s="1"/>
  <c r="D169" i="3"/>
  <c r="B170" i="3"/>
  <c r="H162" i="3" l="1"/>
  <c r="C163" i="3" s="1"/>
  <c r="F162" i="3"/>
  <c r="E162" i="3" s="1"/>
  <c r="B171" i="3"/>
  <c r="D170" i="3"/>
  <c r="G171" i="3"/>
  <c r="I171" i="3" s="1"/>
  <c r="H163" i="3" l="1"/>
  <c r="C164" i="3" s="1"/>
  <c r="F163" i="3"/>
  <c r="E163" i="3" s="1"/>
  <c r="G172" i="3"/>
  <c r="I172" i="3" s="1"/>
  <c r="B172" i="3"/>
  <c r="D171" i="3"/>
  <c r="F164" i="3" l="1"/>
  <c r="E164" i="3" s="1"/>
  <c r="H164" i="3"/>
  <c r="C165" i="3" s="1"/>
  <c r="B173" i="3"/>
  <c r="D172" i="3"/>
  <c r="G173" i="3"/>
  <c r="I173" i="3" s="1"/>
  <c r="F165" i="3" l="1"/>
  <c r="E165" i="3" s="1"/>
  <c r="H165" i="3"/>
  <c r="C166" i="3" s="1"/>
  <c r="D173" i="3"/>
  <c r="G174" i="3"/>
  <c r="I174" i="3" s="1"/>
  <c r="B174" i="3"/>
  <c r="H166" i="3" l="1"/>
  <c r="C167" i="3" s="1"/>
  <c r="F166" i="3"/>
  <c r="E166" i="3" s="1"/>
  <c r="B175" i="3"/>
  <c r="D174" i="3"/>
  <c r="G175" i="3"/>
  <c r="I175" i="3"/>
  <c r="H167" i="3" l="1"/>
  <c r="C168" i="3" s="1"/>
  <c r="F167" i="3"/>
  <c r="E167" i="3" s="1"/>
  <c r="D175" i="3"/>
  <c r="B176" i="3"/>
  <c r="G176" i="3"/>
  <c r="I176" i="3" s="1"/>
  <c r="F168" i="3" l="1"/>
  <c r="E168" i="3" s="1"/>
  <c r="H168" i="3"/>
  <c r="C169" i="3" s="1"/>
  <c r="B177" i="3"/>
  <c r="G177" i="3"/>
  <c r="I177" i="3" s="1"/>
  <c r="D176" i="3"/>
  <c r="F169" i="3" l="1"/>
  <c r="E169" i="3" s="1"/>
  <c r="H169" i="3"/>
  <c r="C170" i="3" s="1"/>
  <c r="B178" i="3"/>
  <c r="D177" i="3"/>
  <c r="G178" i="3"/>
  <c r="I178" i="3" s="1"/>
  <c r="F170" i="3" l="1"/>
  <c r="E170" i="3" s="1"/>
  <c r="H170" i="3"/>
  <c r="C171" i="3" s="1"/>
  <c r="B179" i="3"/>
  <c r="G179" i="3"/>
  <c r="I179" i="3" s="1"/>
  <c r="D178" i="3"/>
  <c r="F171" i="3" l="1"/>
  <c r="E171" i="3" s="1"/>
  <c r="H171" i="3"/>
  <c r="C172" i="3" s="1"/>
  <c r="B180" i="3"/>
  <c r="G180" i="3"/>
  <c r="I180" i="3" s="1"/>
  <c r="D179" i="3"/>
  <c r="H172" i="3" l="1"/>
  <c r="C173" i="3" s="1"/>
  <c r="F172" i="3"/>
  <c r="E172" i="3" s="1"/>
  <c r="G181" i="3"/>
  <c r="I181" i="3" s="1"/>
  <c r="B181" i="3"/>
  <c r="D180" i="3"/>
  <c r="H173" i="3" l="1"/>
  <c r="C174" i="3" s="1"/>
  <c r="F173" i="3"/>
  <c r="E173" i="3" s="1"/>
  <c r="B182" i="3"/>
  <c r="D181" i="3"/>
  <c r="G182" i="3"/>
  <c r="I182" i="3" s="1"/>
  <c r="H174" i="3" l="1"/>
  <c r="C175" i="3" s="1"/>
  <c r="F174" i="3"/>
  <c r="E174" i="3" s="1"/>
  <c r="G183" i="3"/>
  <c r="I183" i="3" s="1"/>
  <c r="D182" i="3"/>
  <c r="B183" i="3"/>
  <c r="F175" i="3" l="1"/>
  <c r="E175" i="3" s="1"/>
  <c r="H175" i="3"/>
  <c r="C176" i="3" s="1"/>
  <c r="G184" i="3"/>
  <c r="I184" i="3" s="1"/>
  <c r="B184" i="3"/>
  <c r="D183" i="3"/>
  <c r="F176" i="3" l="1"/>
  <c r="E176" i="3" s="1"/>
  <c r="H176" i="3"/>
  <c r="C177" i="3" s="1"/>
  <c r="G185" i="3"/>
  <c r="I185" i="3" s="1"/>
  <c r="B185" i="3"/>
  <c r="D184" i="3"/>
  <c r="H177" i="3" l="1"/>
  <c r="C178" i="3" s="1"/>
  <c r="F177" i="3"/>
  <c r="E177" i="3" s="1"/>
  <c r="B186" i="3"/>
  <c r="G186" i="3"/>
  <c r="I186" i="3" s="1"/>
  <c r="D185" i="3"/>
  <c r="H178" i="3" l="1"/>
  <c r="C179" i="3" s="1"/>
  <c r="F178" i="3"/>
  <c r="E178" i="3" s="1"/>
  <c r="G187" i="3"/>
  <c r="I187" i="3" s="1"/>
  <c r="D186" i="3"/>
  <c r="B187" i="3"/>
  <c r="H179" i="3" l="1"/>
  <c r="C180" i="3" s="1"/>
  <c r="F179" i="3"/>
  <c r="E179" i="3" s="1"/>
  <c r="G188" i="3"/>
  <c r="I188" i="3" s="1"/>
  <c r="D187" i="3"/>
  <c r="B188" i="3"/>
  <c r="H180" i="3" l="1"/>
  <c r="C181" i="3" s="1"/>
  <c r="F180" i="3"/>
  <c r="E180" i="3" s="1"/>
  <c r="B189" i="3"/>
  <c r="D188" i="3"/>
  <c r="G189" i="3"/>
  <c r="I189" i="3" s="1"/>
  <c r="H181" i="3" l="1"/>
  <c r="C182" i="3" s="1"/>
  <c r="F181" i="3"/>
  <c r="E181" i="3" s="1"/>
  <c r="B190" i="3"/>
  <c r="D189" i="3"/>
  <c r="G190" i="3"/>
  <c r="I190" i="3" s="1"/>
  <c r="F182" i="3" l="1"/>
  <c r="E182" i="3" s="1"/>
  <c r="H182" i="3"/>
  <c r="C183" i="3" s="1"/>
  <c r="G191" i="3"/>
  <c r="I191" i="3" s="1"/>
  <c r="B191" i="3"/>
  <c r="D190" i="3"/>
  <c r="F183" i="3" l="1"/>
  <c r="E183" i="3" s="1"/>
  <c r="H183" i="3"/>
  <c r="C184" i="3" s="1"/>
  <c r="B192" i="3"/>
  <c r="G192" i="3"/>
  <c r="I192" i="3" s="1"/>
  <c r="D191" i="3"/>
  <c r="F184" i="3" l="1"/>
  <c r="E184" i="3" s="1"/>
  <c r="H184" i="3"/>
  <c r="C185" i="3" s="1"/>
  <c r="D192" i="3"/>
  <c r="G193" i="3"/>
  <c r="I193" i="3" s="1"/>
  <c r="B193" i="3"/>
  <c r="F185" i="3" l="1"/>
  <c r="E185" i="3" s="1"/>
  <c r="H185" i="3"/>
  <c r="C186" i="3" s="1"/>
  <c r="D193" i="3"/>
  <c r="G194" i="3"/>
  <c r="I194" i="3" s="1"/>
  <c r="B194" i="3"/>
  <c r="H186" i="3" l="1"/>
  <c r="C187" i="3" s="1"/>
  <c r="F186" i="3"/>
  <c r="E186" i="3" s="1"/>
  <c r="B195" i="3"/>
  <c r="D194" i="3"/>
  <c r="G195" i="3"/>
  <c r="I195" i="3" s="1"/>
  <c r="H187" i="3" l="1"/>
  <c r="C188" i="3" s="1"/>
  <c r="F187" i="3"/>
  <c r="E187" i="3" s="1"/>
  <c r="G196" i="3"/>
  <c r="I196" i="3" s="1"/>
  <c r="B196" i="3"/>
  <c r="D195" i="3"/>
  <c r="F188" i="3" l="1"/>
  <c r="E188" i="3" s="1"/>
  <c r="H188" i="3"/>
  <c r="C189" i="3" s="1"/>
  <c r="G197" i="3"/>
  <c r="I197" i="3" s="1"/>
  <c r="B197" i="3"/>
  <c r="D196" i="3"/>
  <c r="H189" i="3" l="1"/>
  <c r="C190" i="3" s="1"/>
  <c r="F189" i="3"/>
  <c r="E189" i="3" s="1"/>
  <c r="G198" i="3"/>
  <c r="I198" i="3" s="1"/>
  <c r="B198" i="3"/>
  <c r="D197" i="3"/>
  <c r="H190" i="3" l="1"/>
  <c r="C191" i="3" s="1"/>
  <c r="F190" i="3"/>
  <c r="E190" i="3" s="1"/>
  <c r="D198" i="3"/>
  <c r="B199" i="3"/>
  <c r="G199" i="3"/>
  <c r="I199" i="3" s="1"/>
  <c r="F191" i="3" l="1"/>
  <c r="E191" i="3" s="1"/>
  <c r="H191" i="3"/>
  <c r="C192" i="3" s="1"/>
  <c r="B200" i="3"/>
  <c r="G200" i="3"/>
  <c r="I200" i="3" s="1"/>
  <c r="D199" i="3"/>
  <c r="F192" i="3" l="1"/>
  <c r="E192" i="3" s="1"/>
  <c r="H192" i="3"/>
  <c r="C193" i="3" s="1"/>
  <c r="G201" i="3"/>
  <c r="I201" i="3" s="1"/>
  <c r="D200" i="3"/>
  <c r="B201" i="3"/>
  <c r="H193" i="3" l="1"/>
  <c r="C194" i="3" s="1"/>
  <c r="F193" i="3"/>
  <c r="E193" i="3" s="1"/>
  <c r="D201" i="3"/>
  <c r="B202" i="3"/>
  <c r="G202" i="3"/>
  <c r="I202" i="3" s="1"/>
  <c r="F194" i="3" l="1"/>
  <c r="E194" i="3" s="1"/>
  <c r="H194" i="3"/>
  <c r="C195" i="3" s="1"/>
  <c r="D202" i="3"/>
  <c r="B203" i="3"/>
  <c r="G203" i="3"/>
  <c r="I203" i="3" s="1"/>
  <c r="F195" i="3" l="1"/>
  <c r="E195" i="3" s="1"/>
  <c r="H195" i="3"/>
  <c r="C196" i="3" s="1"/>
  <c r="B204" i="3"/>
  <c r="G204" i="3"/>
  <c r="I204" i="3" s="1"/>
  <c r="D203" i="3"/>
  <c r="F196" i="3" l="1"/>
  <c r="E196" i="3" s="1"/>
  <c r="H196" i="3"/>
  <c r="C197" i="3" s="1"/>
  <c r="D204" i="3"/>
  <c r="G205" i="3"/>
  <c r="I205" i="3" s="1"/>
  <c r="B205" i="3"/>
  <c r="F197" i="3" l="1"/>
  <c r="E197" i="3" s="1"/>
  <c r="H197" i="3"/>
  <c r="C198" i="3" s="1"/>
  <c r="D205" i="3"/>
  <c r="B206" i="3"/>
  <c r="G206" i="3"/>
  <c r="I206" i="3" s="1"/>
  <c r="F198" i="3" l="1"/>
  <c r="E198" i="3" s="1"/>
  <c r="H198" i="3"/>
  <c r="C199" i="3" s="1"/>
  <c r="B207" i="3"/>
  <c r="D206" i="3"/>
  <c r="G207" i="3"/>
  <c r="I207" i="3" s="1"/>
  <c r="H199" i="3" l="1"/>
  <c r="C200" i="3" s="1"/>
  <c r="F199" i="3"/>
  <c r="E199" i="3" s="1"/>
  <c r="G208" i="3"/>
  <c r="I208" i="3" s="1"/>
  <c r="D207" i="3"/>
  <c r="B208" i="3"/>
  <c r="H200" i="3" l="1"/>
  <c r="C201" i="3" s="1"/>
  <c r="F200" i="3"/>
  <c r="E200" i="3" s="1"/>
  <c r="D208" i="3"/>
  <c r="G209" i="3"/>
  <c r="I209" i="3" s="1"/>
  <c r="B209" i="3"/>
  <c r="H201" i="3" l="1"/>
  <c r="C202" i="3" s="1"/>
  <c r="F201" i="3"/>
  <c r="E201" i="3" s="1"/>
  <c r="B210" i="3"/>
  <c r="D209" i="3"/>
  <c r="G210" i="3"/>
  <c r="I210" i="3" s="1"/>
  <c r="H202" i="3" l="1"/>
  <c r="C203" i="3" s="1"/>
  <c r="F202" i="3"/>
  <c r="E202" i="3" s="1"/>
  <c r="D210" i="3"/>
  <c r="G211" i="3"/>
  <c r="I211" i="3" s="1"/>
  <c r="B211" i="3"/>
  <c r="H203" i="3" l="1"/>
  <c r="C204" i="3" s="1"/>
  <c r="F203" i="3"/>
  <c r="E203" i="3" s="1"/>
  <c r="G212" i="3"/>
  <c r="I212" i="3" s="1"/>
  <c r="D211" i="3"/>
  <c r="B212" i="3"/>
  <c r="F204" i="3" l="1"/>
  <c r="E204" i="3" s="1"/>
  <c r="H204" i="3"/>
  <c r="C205" i="3" s="1"/>
  <c r="G213" i="3"/>
  <c r="I213" i="3" s="1"/>
  <c r="B213" i="3"/>
  <c r="D212" i="3"/>
  <c r="H205" i="3" l="1"/>
  <c r="C206" i="3" s="1"/>
  <c r="F205" i="3"/>
  <c r="E205" i="3" s="1"/>
  <c r="G214" i="3"/>
  <c r="I214" i="3" s="1"/>
  <c r="B214" i="3"/>
  <c r="D213" i="3"/>
  <c r="F206" i="3" l="1"/>
  <c r="E206" i="3" s="1"/>
  <c r="H206" i="3"/>
  <c r="C207" i="3" s="1"/>
  <c r="B215" i="3"/>
  <c r="G215" i="3"/>
  <c r="I215" i="3" s="1"/>
  <c r="D214" i="3"/>
  <c r="H207" i="3" l="1"/>
  <c r="C208" i="3" s="1"/>
  <c r="F207" i="3"/>
  <c r="E207" i="3" s="1"/>
  <c r="B216" i="3"/>
  <c r="G216" i="3"/>
  <c r="I216" i="3" s="1"/>
  <c r="D215" i="3"/>
  <c r="H208" i="3" l="1"/>
  <c r="C209" i="3" s="1"/>
  <c r="F208" i="3"/>
  <c r="E208" i="3" s="1"/>
  <c r="B217" i="3"/>
  <c r="G217" i="3"/>
  <c r="I217" i="3" s="1"/>
  <c r="D216" i="3"/>
  <c r="F209" i="3" l="1"/>
  <c r="E209" i="3" s="1"/>
  <c r="H209" i="3"/>
  <c r="C210" i="3" s="1"/>
  <c r="G218" i="3"/>
  <c r="I218" i="3" s="1"/>
  <c r="D217" i="3"/>
  <c r="B218" i="3"/>
  <c r="H210" i="3" l="1"/>
  <c r="C211" i="3" s="1"/>
  <c r="F210" i="3"/>
  <c r="E210" i="3" s="1"/>
  <c r="D218" i="3"/>
  <c r="B219" i="3"/>
  <c r="G219" i="3"/>
  <c r="I219" i="3" s="1"/>
  <c r="F211" i="3" l="1"/>
  <c r="E211" i="3" s="1"/>
  <c r="H211" i="3"/>
  <c r="C212" i="3" s="1"/>
  <c r="B220" i="3"/>
  <c r="D219" i="3"/>
  <c r="G220" i="3"/>
  <c r="I220" i="3" s="1"/>
  <c r="F212" i="3" l="1"/>
  <c r="E212" i="3" s="1"/>
  <c r="H212" i="3"/>
  <c r="C213" i="3" s="1"/>
  <c r="B221" i="3"/>
  <c r="D220" i="3"/>
  <c r="G221" i="3"/>
  <c r="I221" i="3" s="1"/>
  <c r="H213" i="3" l="1"/>
  <c r="C214" i="3" s="1"/>
  <c r="F213" i="3"/>
  <c r="E213" i="3" s="1"/>
  <c r="B222" i="3"/>
  <c r="G222" i="3"/>
  <c r="I222" i="3" s="1"/>
  <c r="D221" i="3"/>
  <c r="F214" i="3" l="1"/>
  <c r="E214" i="3" s="1"/>
  <c r="H214" i="3"/>
  <c r="C215" i="3" s="1"/>
  <c r="G223" i="3"/>
  <c r="I223" i="3" s="1"/>
  <c r="B223" i="3"/>
  <c r="D222" i="3"/>
  <c r="H215" i="3" l="1"/>
  <c r="C216" i="3" s="1"/>
  <c r="F215" i="3"/>
  <c r="E215" i="3" s="1"/>
  <c r="G224" i="3"/>
  <c r="I224" i="3" s="1"/>
  <c r="D223" i="3"/>
  <c r="B224" i="3"/>
  <c r="H216" i="3" l="1"/>
  <c r="C217" i="3" s="1"/>
  <c r="F216" i="3"/>
  <c r="E216" i="3" s="1"/>
  <c r="D224" i="3"/>
  <c r="B225" i="3"/>
  <c r="G225" i="3"/>
  <c r="I225" i="3" s="1"/>
  <c r="F217" i="3" l="1"/>
  <c r="E217" i="3" s="1"/>
  <c r="H217" i="3"/>
  <c r="C218" i="3" s="1"/>
  <c r="G226" i="3"/>
  <c r="I226" i="3" s="1"/>
  <c r="D225" i="3"/>
  <c r="B226" i="3"/>
  <c r="H218" i="3" l="1"/>
  <c r="C219" i="3" s="1"/>
  <c r="F218" i="3"/>
  <c r="E218" i="3" s="1"/>
  <c r="D226" i="3"/>
  <c r="B227" i="3"/>
  <c r="G227" i="3"/>
  <c r="I227" i="3" s="1"/>
  <c r="F219" i="3" l="1"/>
  <c r="E219" i="3" s="1"/>
  <c r="H219" i="3"/>
  <c r="C220" i="3" s="1"/>
  <c r="B228" i="3"/>
  <c r="D227" i="3"/>
  <c r="G228" i="3"/>
  <c r="I228" i="3" s="1"/>
  <c r="H220" i="3" l="1"/>
  <c r="C221" i="3" s="1"/>
  <c r="F220" i="3"/>
  <c r="E220" i="3" s="1"/>
  <c r="D228" i="3"/>
  <c r="G229" i="3"/>
  <c r="I229" i="3" s="1"/>
  <c r="B229" i="3"/>
  <c r="H221" i="3" l="1"/>
  <c r="C222" i="3" s="1"/>
  <c r="F221" i="3"/>
  <c r="E221" i="3" s="1"/>
  <c r="D229" i="3"/>
  <c r="G230" i="3"/>
  <c r="I230" i="3" s="1"/>
  <c r="B230" i="3"/>
  <c r="F222" i="3" l="1"/>
  <c r="E222" i="3" s="1"/>
  <c r="H222" i="3"/>
  <c r="C223" i="3" s="1"/>
  <c r="B231" i="3"/>
  <c r="D230" i="3"/>
  <c r="G231" i="3"/>
  <c r="I231" i="3" s="1"/>
  <c r="F223" i="3" l="1"/>
  <c r="E223" i="3" s="1"/>
  <c r="H223" i="3"/>
  <c r="C224" i="3" s="1"/>
  <c r="B232" i="3"/>
  <c r="G232" i="3"/>
  <c r="I232" i="3" s="1"/>
  <c r="D231" i="3"/>
  <c r="F224" i="3" l="1"/>
  <c r="E224" i="3" s="1"/>
  <c r="H224" i="3"/>
  <c r="C225" i="3" s="1"/>
  <c r="B233" i="3"/>
  <c r="D232" i="3"/>
  <c r="G233" i="3"/>
  <c r="I233" i="3" s="1"/>
  <c r="H225" i="3" l="1"/>
  <c r="C226" i="3" s="1"/>
  <c r="F225" i="3"/>
  <c r="E225" i="3" s="1"/>
  <c r="G234" i="3"/>
  <c r="I234" i="3" s="1"/>
  <c r="D233" i="3"/>
  <c r="B234" i="3"/>
  <c r="F226" i="3" l="1"/>
  <c r="E226" i="3" s="1"/>
  <c r="H226" i="3"/>
  <c r="C227" i="3" s="1"/>
  <c r="B235" i="3"/>
  <c r="D234" i="3"/>
  <c r="G235" i="3"/>
  <c r="I235" i="3" s="1"/>
  <c r="F227" i="3" l="1"/>
  <c r="E227" i="3" s="1"/>
  <c r="H227" i="3"/>
  <c r="C228" i="3" s="1"/>
  <c r="G236" i="3"/>
  <c r="I236" i="3" s="1"/>
  <c r="B236" i="3"/>
  <c r="D235" i="3"/>
  <c r="F228" i="3" l="1"/>
  <c r="E228" i="3" s="1"/>
  <c r="H228" i="3"/>
  <c r="C229" i="3" s="1"/>
  <c r="B237" i="3"/>
  <c r="G237" i="3"/>
  <c r="I237" i="3" s="1"/>
  <c r="D236" i="3"/>
  <c r="F229" i="3" l="1"/>
  <c r="E229" i="3" s="1"/>
  <c r="H229" i="3"/>
  <c r="C230" i="3" s="1"/>
  <c r="G238" i="3"/>
  <c r="I238" i="3" s="1"/>
  <c r="D237" i="3"/>
  <c r="B238" i="3"/>
  <c r="H230" i="3" l="1"/>
  <c r="C231" i="3" s="1"/>
  <c r="F230" i="3"/>
  <c r="E230" i="3" s="1"/>
  <c r="D238" i="3"/>
  <c r="B239" i="3"/>
  <c r="G239" i="3"/>
  <c r="I239" i="3" s="1"/>
  <c r="F231" i="3" l="1"/>
  <c r="E231" i="3" s="1"/>
  <c r="H231" i="3"/>
  <c r="C232" i="3" s="1"/>
  <c r="G240" i="3"/>
  <c r="I240" i="3"/>
  <c r="D239" i="3"/>
  <c r="B240" i="3"/>
  <c r="H232" i="3" l="1"/>
  <c r="C233" i="3" s="1"/>
  <c r="F232" i="3"/>
  <c r="E232" i="3" s="1"/>
  <c r="B241" i="3"/>
  <c r="D240" i="3"/>
  <c r="G241" i="3"/>
  <c r="I241" i="3" s="1"/>
  <c r="F233" i="3" l="1"/>
  <c r="E233" i="3" s="1"/>
  <c r="H233" i="3"/>
  <c r="C234" i="3" s="1"/>
  <c r="B242" i="3"/>
  <c r="D241" i="3"/>
  <c r="G242" i="3"/>
  <c r="I242" i="3" s="1"/>
  <c r="F234" i="3" l="1"/>
  <c r="E234" i="3" s="1"/>
  <c r="H234" i="3"/>
  <c r="C235" i="3" s="1"/>
  <c r="B243" i="3"/>
  <c r="D242" i="3"/>
  <c r="G243" i="3"/>
  <c r="I243" i="3" s="1"/>
  <c r="F235" i="3" l="1"/>
  <c r="E235" i="3" s="1"/>
  <c r="H235" i="3"/>
  <c r="C236" i="3" s="1"/>
  <c r="G244" i="3"/>
  <c r="I244" i="3" s="1"/>
  <c r="B244" i="3"/>
  <c r="D243" i="3"/>
  <c r="H236" i="3" l="1"/>
  <c r="C237" i="3" s="1"/>
  <c r="F236" i="3"/>
  <c r="E236" i="3" s="1"/>
  <c r="D244" i="3"/>
  <c r="G245" i="3"/>
  <c r="I245" i="3" s="1"/>
  <c r="B245" i="3"/>
  <c r="F237" i="3" l="1"/>
  <c r="E237" i="3" s="1"/>
  <c r="H237" i="3"/>
  <c r="C238" i="3" s="1"/>
  <c r="B246" i="3"/>
  <c r="D245" i="3"/>
  <c r="G246" i="3"/>
  <c r="I246" i="3" s="1"/>
  <c r="H238" i="3" l="1"/>
  <c r="C239" i="3" s="1"/>
  <c r="F238" i="3"/>
  <c r="E238" i="3" s="1"/>
  <c r="B247" i="3"/>
  <c r="D246" i="3"/>
  <c r="G247" i="3"/>
  <c r="I247" i="3" s="1"/>
  <c r="F239" i="3" l="1"/>
  <c r="E239" i="3" s="1"/>
  <c r="H239" i="3"/>
  <c r="C240" i="3" s="1"/>
  <c r="G248" i="3"/>
  <c r="I248" i="3" s="1"/>
  <c r="D247" i="3"/>
  <c r="B248" i="3"/>
  <c r="F240" i="3" l="1"/>
  <c r="E240" i="3" s="1"/>
  <c r="H240" i="3"/>
  <c r="C241" i="3" s="1"/>
  <c r="G249" i="3"/>
  <c r="I249" i="3" s="1"/>
  <c r="B249" i="3"/>
  <c r="D248" i="3"/>
  <c r="F241" i="3" l="1"/>
  <c r="E241" i="3" s="1"/>
  <c r="H241" i="3"/>
  <c r="C242" i="3" s="1"/>
  <c r="B250" i="3"/>
  <c r="G250" i="3"/>
  <c r="I250" i="3" s="1"/>
  <c r="D249" i="3"/>
  <c r="H242" i="3" l="1"/>
  <c r="C243" i="3" s="1"/>
  <c r="F242" i="3"/>
  <c r="E242" i="3" s="1"/>
  <c r="G251" i="3"/>
  <c r="I251" i="3" s="1"/>
  <c r="B251" i="3"/>
  <c r="D250" i="3"/>
  <c r="F243" i="3" l="1"/>
  <c r="E243" i="3" s="1"/>
  <c r="H243" i="3"/>
  <c r="C244" i="3" s="1"/>
  <c r="B252" i="3"/>
  <c r="G252" i="3"/>
  <c r="I252" i="3" s="1"/>
  <c r="D251" i="3"/>
  <c r="H244" i="3" l="1"/>
  <c r="C245" i="3" s="1"/>
  <c r="F244" i="3"/>
  <c r="E244" i="3" s="1"/>
  <c r="D252" i="3"/>
  <c r="B253" i="3"/>
  <c r="G253" i="3"/>
  <c r="I253" i="3" s="1"/>
  <c r="F245" i="3" l="1"/>
  <c r="E245" i="3" s="1"/>
  <c r="H245" i="3"/>
  <c r="C246" i="3" s="1"/>
  <c r="D253" i="3"/>
  <c r="B254" i="3"/>
  <c r="G254" i="3"/>
  <c r="I254" i="3" s="1"/>
  <c r="H246" i="3" l="1"/>
  <c r="C247" i="3" s="1"/>
  <c r="F246" i="3"/>
  <c r="E246" i="3" s="1"/>
  <c r="G255" i="3"/>
  <c r="I255" i="3" s="1"/>
  <c r="B255" i="3"/>
  <c r="D254" i="3"/>
  <c r="F247" i="3" l="1"/>
  <c r="E247" i="3" s="1"/>
  <c r="H247" i="3"/>
  <c r="C248" i="3" s="1"/>
  <c r="D255" i="3"/>
  <c r="B256" i="3"/>
  <c r="G256" i="3"/>
  <c r="I256" i="3" s="1"/>
  <c r="F248" i="3" l="1"/>
  <c r="E248" i="3" s="1"/>
  <c r="H248" i="3"/>
  <c r="C249" i="3" s="1"/>
  <c r="G257" i="3"/>
  <c r="I257" i="3" s="1"/>
  <c r="D256" i="3"/>
  <c r="B257" i="3"/>
  <c r="F249" i="3" l="1"/>
  <c r="E249" i="3" s="1"/>
  <c r="H249" i="3"/>
  <c r="C250" i="3" s="1"/>
  <c r="G258" i="3"/>
  <c r="I258" i="3" s="1"/>
  <c r="D257" i="3"/>
  <c r="B258" i="3"/>
  <c r="H250" i="3" l="1"/>
  <c r="C251" i="3" s="1"/>
  <c r="F250" i="3"/>
  <c r="E250" i="3" s="1"/>
  <c r="B259" i="3"/>
  <c r="D258" i="3"/>
  <c r="G259" i="3"/>
  <c r="I259" i="3" s="1"/>
  <c r="H251" i="3" l="1"/>
  <c r="C252" i="3" s="1"/>
  <c r="F251" i="3"/>
  <c r="E251" i="3" s="1"/>
  <c r="B260" i="3"/>
  <c r="G260" i="3"/>
  <c r="I260" i="3" s="1"/>
  <c r="D259" i="3"/>
  <c r="H252" i="3" l="1"/>
  <c r="C253" i="3" s="1"/>
  <c r="F252" i="3"/>
  <c r="E252" i="3" s="1"/>
  <c r="B261" i="3"/>
  <c r="D260" i="3"/>
  <c r="G261" i="3"/>
  <c r="I261" i="3" s="1"/>
  <c r="F253" i="3" l="1"/>
  <c r="E253" i="3" s="1"/>
  <c r="H253" i="3"/>
  <c r="C254" i="3" s="1"/>
  <c r="G262" i="3"/>
  <c r="I262" i="3" s="1"/>
  <c r="B262" i="3"/>
  <c r="D261" i="3"/>
  <c r="F254" i="3" l="1"/>
  <c r="E254" i="3" s="1"/>
  <c r="H254" i="3"/>
  <c r="C255" i="3" s="1"/>
  <c r="D262" i="3"/>
  <c r="B263" i="3"/>
  <c r="G263" i="3"/>
  <c r="I263" i="3" s="1"/>
  <c r="F255" i="3" l="1"/>
  <c r="E255" i="3" s="1"/>
  <c r="H255" i="3"/>
  <c r="C256" i="3" s="1"/>
  <c r="B264" i="3"/>
  <c r="D263" i="3"/>
  <c r="G264" i="3"/>
  <c r="I264" i="3" s="1"/>
  <c r="H256" i="3" l="1"/>
  <c r="C257" i="3" s="1"/>
  <c r="F256" i="3"/>
  <c r="E256" i="3" s="1"/>
  <c r="D264" i="3"/>
  <c r="B265" i="3"/>
  <c r="G265" i="3"/>
  <c r="I265" i="3" s="1"/>
  <c r="F257" i="3" l="1"/>
  <c r="E257" i="3" s="1"/>
  <c r="H257" i="3"/>
  <c r="C258" i="3" s="1"/>
  <c r="D265" i="3"/>
  <c r="B266" i="3"/>
  <c r="G266" i="3"/>
  <c r="I266" i="3" s="1"/>
  <c r="F258" i="3" l="1"/>
  <c r="E258" i="3" s="1"/>
  <c r="H258" i="3"/>
  <c r="C259" i="3" s="1"/>
  <c r="D266" i="3"/>
  <c r="B267" i="3"/>
  <c r="G267" i="3"/>
  <c r="I267" i="3" s="1"/>
  <c r="H259" i="3" l="1"/>
  <c r="C260" i="3" s="1"/>
  <c r="F259" i="3"/>
  <c r="E259" i="3" s="1"/>
  <c r="B268" i="3"/>
  <c r="G268" i="3"/>
  <c r="I268" i="3" s="1"/>
  <c r="D267" i="3"/>
  <c r="H260" i="3" l="1"/>
  <c r="C261" i="3" s="1"/>
  <c r="F260" i="3"/>
  <c r="E260" i="3" s="1"/>
  <c r="G269" i="3"/>
  <c r="I269" i="3" s="1"/>
  <c r="B269" i="3"/>
  <c r="D268" i="3"/>
  <c r="F261" i="3" l="1"/>
  <c r="E261" i="3" s="1"/>
  <c r="H261" i="3"/>
  <c r="C262" i="3" s="1"/>
  <c r="D269" i="3"/>
  <c r="B270" i="3"/>
  <c r="G270" i="3"/>
  <c r="I270" i="3" s="1"/>
  <c r="H262" i="3" l="1"/>
  <c r="C263" i="3" s="1"/>
  <c r="F262" i="3"/>
  <c r="E262" i="3" s="1"/>
  <c r="D270" i="3"/>
  <c r="B271" i="3"/>
  <c r="G271" i="3"/>
  <c r="I271" i="3" s="1"/>
  <c r="F263" i="3" l="1"/>
  <c r="E263" i="3" s="1"/>
  <c r="H263" i="3"/>
  <c r="C264" i="3" s="1"/>
  <c r="G272" i="3"/>
  <c r="I272" i="3" s="1"/>
  <c r="D271" i="3"/>
  <c r="B272" i="3"/>
  <c r="H264" i="3" l="1"/>
  <c r="C265" i="3" s="1"/>
  <c r="F264" i="3"/>
  <c r="E264" i="3" s="1"/>
  <c r="B273" i="3"/>
  <c r="D272" i="3"/>
  <c r="G273" i="3"/>
  <c r="I273" i="3" s="1"/>
  <c r="F265" i="3" l="1"/>
  <c r="E265" i="3" s="1"/>
  <c r="H265" i="3"/>
  <c r="C266" i="3" s="1"/>
  <c r="D273" i="3"/>
  <c r="G274" i="3"/>
  <c r="I274" i="3" s="1"/>
  <c r="B274" i="3"/>
  <c r="H266" i="3" l="1"/>
  <c r="C267" i="3" s="1"/>
  <c r="F266" i="3"/>
  <c r="E266" i="3" s="1"/>
  <c r="D274" i="3"/>
  <c r="B275" i="3"/>
  <c r="G275" i="3"/>
  <c r="I275" i="3" s="1"/>
  <c r="H267" i="3" l="1"/>
  <c r="C268" i="3" s="1"/>
  <c r="F267" i="3"/>
  <c r="E267" i="3" s="1"/>
  <c r="D275" i="3"/>
  <c r="B276" i="3"/>
  <c r="G276" i="3"/>
  <c r="I276" i="3" s="1"/>
  <c r="F268" i="3" l="1"/>
  <c r="E268" i="3" s="1"/>
  <c r="H268" i="3"/>
  <c r="C269" i="3" s="1"/>
  <c r="B277" i="3"/>
  <c r="D276" i="3"/>
  <c r="G277" i="3"/>
  <c r="I277" i="3" s="1"/>
  <c r="F269" i="3" l="1"/>
  <c r="E269" i="3" s="1"/>
  <c r="H269" i="3"/>
  <c r="C270" i="3" s="1"/>
  <c r="D277" i="3"/>
  <c r="B278" i="3"/>
  <c r="G278" i="3"/>
  <c r="I278" i="3" s="1"/>
  <c r="F270" i="3" l="1"/>
  <c r="E270" i="3" s="1"/>
  <c r="H270" i="3"/>
  <c r="C271" i="3" s="1"/>
  <c r="D278" i="3"/>
  <c r="B279" i="3"/>
  <c r="G279" i="3"/>
  <c r="I279" i="3" s="1"/>
  <c r="H271" i="3" l="1"/>
  <c r="C272" i="3" s="1"/>
  <c r="F271" i="3"/>
  <c r="E271" i="3" s="1"/>
  <c r="D279" i="3"/>
  <c r="B280" i="3"/>
  <c r="G280" i="3"/>
  <c r="I280" i="3" s="1"/>
  <c r="F272" i="3" l="1"/>
  <c r="E272" i="3" s="1"/>
  <c r="H272" i="3"/>
  <c r="C273" i="3" s="1"/>
  <c r="G281" i="3"/>
  <c r="I281" i="3" s="1"/>
  <c r="D280" i="3"/>
  <c r="B281" i="3"/>
  <c r="F273" i="3" l="1"/>
  <c r="E273" i="3" s="1"/>
  <c r="H273" i="3"/>
  <c r="C274" i="3" s="1"/>
  <c r="D281" i="3"/>
  <c r="B282" i="3"/>
  <c r="G282" i="3"/>
  <c r="I282" i="3" s="1"/>
  <c r="H274" i="3" l="1"/>
  <c r="C275" i="3" s="1"/>
  <c r="F274" i="3"/>
  <c r="E274" i="3" s="1"/>
  <c r="G283" i="3"/>
  <c r="I283" i="3"/>
  <c r="B283" i="3"/>
  <c r="D282" i="3"/>
  <c r="F275" i="3" l="1"/>
  <c r="E275" i="3" s="1"/>
  <c r="H275" i="3"/>
  <c r="C276" i="3" s="1"/>
  <c r="B284" i="3"/>
  <c r="D283" i="3"/>
  <c r="G284" i="3"/>
  <c r="I284" i="3" s="1"/>
  <c r="F276" i="3" l="1"/>
  <c r="E276" i="3" s="1"/>
  <c r="H276" i="3"/>
  <c r="C277" i="3" s="1"/>
  <c r="D284" i="3"/>
  <c r="B285" i="3"/>
  <c r="G285" i="3"/>
  <c r="I285" i="3" s="1"/>
  <c r="F277" i="3" l="1"/>
  <c r="E277" i="3" s="1"/>
  <c r="H277" i="3"/>
  <c r="C278" i="3" s="1"/>
  <c r="G286" i="3"/>
  <c r="I286" i="3" s="1"/>
  <c r="B286" i="3"/>
  <c r="D285" i="3"/>
  <c r="F278" i="3" l="1"/>
  <c r="E278" i="3" s="1"/>
  <c r="H278" i="3"/>
  <c r="C279" i="3" s="1"/>
  <c r="B287" i="3"/>
  <c r="D286" i="3"/>
  <c r="G287" i="3"/>
  <c r="I287" i="3" s="1"/>
  <c r="F279" i="3" l="1"/>
  <c r="E279" i="3" s="1"/>
  <c r="H279" i="3"/>
  <c r="C280" i="3" s="1"/>
  <c r="G288" i="3"/>
  <c r="I288" i="3" s="1"/>
  <c r="D287" i="3"/>
  <c r="B288" i="3"/>
  <c r="F280" i="3" l="1"/>
  <c r="E280" i="3" s="1"/>
  <c r="H280" i="3"/>
  <c r="C281" i="3" s="1"/>
  <c r="D288" i="3"/>
  <c r="G289" i="3"/>
  <c r="I289" i="3" s="1"/>
  <c r="B289" i="3"/>
  <c r="F281" i="3" l="1"/>
  <c r="E281" i="3" s="1"/>
  <c r="H281" i="3"/>
  <c r="C282" i="3" s="1"/>
  <c r="B290" i="3"/>
  <c r="G290" i="3"/>
  <c r="I290" i="3" s="1"/>
  <c r="D289" i="3"/>
  <c r="F282" i="3" l="1"/>
  <c r="E282" i="3" s="1"/>
  <c r="H282" i="3"/>
  <c r="C283" i="3" s="1"/>
  <c r="B291" i="3"/>
  <c r="G291" i="3"/>
  <c r="I291" i="3" s="1"/>
  <c r="D290" i="3"/>
  <c r="F283" i="3" l="1"/>
  <c r="E283" i="3" s="1"/>
  <c r="H283" i="3"/>
  <c r="C284" i="3" s="1"/>
  <c r="D291" i="3"/>
  <c r="G292" i="3"/>
  <c r="I292" i="3" s="1"/>
  <c r="B292" i="3"/>
  <c r="H284" i="3" l="1"/>
  <c r="C285" i="3" s="1"/>
  <c r="F284" i="3"/>
  <c r="E284" i="3" s="1"/>
  <c r="G293" i="3"/>
  <c r="I293" i="3"/>
  <c r="D292" i="3"/>
  <c r="B293" i="3"/>
  <c r="H285" i="3" l="1"/>
  <c r="C286" i="3" s="1"/>
  <c r="F285" i="3"/>
  <c r="E285" i="3" s="1"/>
  <c r="G294" i="3"/>
  <c r="I294" i="3"/>
  <c r="D293" i="3"/>
  <c r="B294" i="3"/>
  <c r="H286" i="3" l="1"/>
  <c r="C287" i="3" s="1"/>
  <c r="F286" i="3"/>
  <c r="E286" i="3" s="1"/>
  <c r="D294" i="3"/>
  <c r="G295" i="3"/>
  <c r="I295" i="3" s="1"/>
  <c r="B295" i="3"/>
  <c r="F287" i="3" l="1"/>
  <c r="E287" i="3" s="1"/>
  <c r="H287" i="3"/>
  <c r="C288" i="3" s="1"/>
  <c r="B296" i="3"/>
  <c r="G296" i="3"/>
  <c r="I296" i="3" s="1"/>
  <c r="D295" i="3"/>
  <c r="H288" i="3" l="1"/>
  <c r="C289" i="3" s="1"/>
  <c r="F288" i="3"/>
  <c r="E288" i="3" s="1"/>
  <c r="G297" i="3"/>
  <c r="I297" i="3" s="1"/>
  <c r="B297" i="3"/>
  <c r="D296" i="3"/>
  <c r="F289" i="3" l="1"/>
  <c r="E289" i="3" s="1"/>
  <c r="H289" i="3"/>
  <c r="C290" i="3" s="1"/>
  <c r="G298" i="3"/>
  <c r="I298" i="3" s="1"/>
  <c r="D297" i="3"/>
  <c r="B298" i="3"/>
  <c r="F290" i="3" l="1"/>
  <c r="E290" i="3" s="1"/>
  <c r="H290" i="3"/>
  <c r="C291" i="3" s="1"/>
  <c r="B299" i="3"/>
  <c r="D298" i="3"/>
  <c r="G299" i="3"/>
  <c r="I299" i="3" s="1"/>
  <c r="F291" i="3" l="1"/>
  <c r="E291" i="3" s="1"/>
  <c r="H291" i="3"/>
  <c r="C292" i="3" s="1"/>
  <c r="D299" i="3"/>
  <c r="G300" i="3"/>
  <c r="I300" i="3" s="1"/>
  <c r="B300" i="3"/>
  <c r="F292" i="3" l="1"/>
  <c r="E292" i="3" s="1"/>
  <c r="H292" i="3"/>
  <c r="C293" i="3" s="1"/>
  <c r="D300" i="3"/>
  <c r="G301" i="3"/>
  <c r="I301" i="3" s="1"/>
  <c r="B301" i="3"/>
  <c r="H293" i="3" l="1"/>
  <c r="C294" i="3" s="1"/>
  <c r="F293" i="3"/>
  <c r="E293" i="3" s="1"/>
  <c r="D301" i="3"/>
  <c r="G302" i="3"/>
  <c r="I302" i="3" s="1"/>
  <c r="B302" i="3"/>
  <c r="H294" i="3" l="1"/>
  <c r="C295" i="3" s="1"/>
  <c r="F294" i="3"/>
  <c r="E294" i="3" s="1"/>
  <c r="D302" i="3"/>
  <c r="G303" i="3"/>
  <c r="I303" i="3" s="1"/>
  <c r="B303" i="3"/>
  <c r="H295" i="3" l="1"/>
  <c r="C296" i="3" s="1"/>
  <c r="F295" i="3"/>
  <c r="E295" i="3" s="1"/>
  <c r="D303" i="3"/>
  <c r="G304" i="3"/>
  <c r="I304" i="3" s="1"/>
  <c r="B304" i="3"/>
  <c r="F296" i="3" l="1"/>
  <c r="E296" i="3" s="1"/>
  <c r="H296" i="3"/>
  <c r="C297" i="3" s="1"/>
  <c r="G305" i="3"/>
  <c r="I305" i="3" s="1"/>
  <c r="B305" i="3"/>
  <c r="D304" i="3"/>
  <c r="H297" i="3" l="1"/>
  <c r="C298" i="3" s="1"/>
  <c r="F297" i="3"/>
  <c r="E297" i="3" s="1"/>
  <c r="D305" i="3"/>
  <c r="G306" i="3"/>
  <c r="I306" i="3" s="1"/>
  <c r="B306" i="3"/>
  <c r="F298" i="3" l="1"/>
  <c r="E298" i="3" s="1"/>
  <c r="H298" i="3"/>
  <c r="C299" i="3" s="1"/>
  <c r="D306" i="3"/>
  <c r="G307" i="3"/>
  <c r="I307" i="3" s="1"/>
  <c r="B307" i="3"/>
  <c r="H299" i="3" l="1"/>
  <c r="C300" i="3" s="1"/>
  <c r="F299" i="3"/>
  <c r="E299" i="3" s="1"/>
  <c r="G308" i="3"/>
  <c r="I308" i="3" s="1"/>
  <c r="D307" i="3"/>
  <c r="B308" i="3"/>
  <c r="F300" i="3" l="1"/>
  <c r="E300" i="3" s="1"/>
  <c r="H300" i="3"/>
  <c r="C301" i="3" s="1"/>
  <c r="G309" i="3"/>
  <c r="I309" i="3" s="1"/>
  <c r="D308" i="3"/>
  <c r="B309" i="3"/>
  <c r="D309" i="3" s="1"/>
  <c r="F301" i="3" l="1"/>
  <c r="E301" i="3" s="1"/>
  <c r="H301" i="3"/>
  <c r="C302" i="3" s="1"/>
  <c r="F302" i="3" l="1"/>
  <c r="E302" i="3" s="1"/>
  <c r="H302" i="3"/>
  <c r="C303" i="3" s="1"/>
  <c r="F303" i="3" l="1"/>
  <c r="E303" i="3" s="1"/>
  <c r="H303" i="3"/>
  <c r="C304" i="3" s="1"/>
  <c r="F304" i="3" l="1"/>
  <c r="E304" i="3" s="1"/>
  <c r="H304" i="3"/>
  <c r="C305" i="3" s="1"/>
  <c r="F305" i="3" l="1"/>
  <c r="E305" i="3" s="1"/>
  <c r="H305" i="3"/>
  <c r="C306" i="3" s="1"/>
  <c r="F306" i="3" l="1"/>
  <c r="E306" i="3" s="1"/>
  <c r="H306" i="3"/>
  <c r="C307" i="3" s="1"/>
  <c r="H307" i="3" l="1"/>
  <c r="C308" i="3" s="1"/>
  <c r="F307" i="3"/>
  <c r="E307" i="3" s="1"/>
  <c r="H308" i="3" l="1"/>
  <c r="C309" i="3" s="1"/>
  <c r="F308" i="3"/>
  <c r="E308" i="3" s="1"/>
  <c r="F309" i="3" l="1"/>
  <c r="E309" i="3" s="1"/>
  <c r="H309" i="3"/>
</calcChain>
</file>

<file path=xl/sharedStrings.xml><?xml version="1.0" encoding="utf-8"?>
<sst xmlns="http://schemas.openxmlformats.org/spreadsheetml/2006/main" count="35" uniqueCount="35">
  <si>
    <t>SOLES</t>
  </si>
  <si>
    <t>Moneda</t>
  </si>
  <si>
    <t>Tasa Efectiva Mensual</t>
  </si>
  <si>
    <t>Tasa Costo Efectiva Mensual</t>
  </si>
  <si>
    <t>Tasa Costo Efectiva Anual</t>
  </si>
  <si>
    <t>Periodo</t>
  </si>
  <si>
    <t>Saldo Inicial</t>
  </si>
  <si>
    <t>Amortización</t>
  </si>
  <si>
    <t>Intereses</t>
  </si>
  <si>
    <t>Seguro Desgravamen</t>
  </si>
  <si>
    <t>Seguro de Inmueble</t>
  </si>
  <si>
    <t>Saldo Final</t>
  </si>
  <si>
    <t>Cuota Mensual</t>
  </si>
  <si>
    <t>% de cuota inicial</t>
  </si>
  <si>
    <t>*De cancelar antes del 5to año, se devolverá el BBP + los intereses legales generados</t>
  </si>
  <si>
    <t>**Al segundo crédito no se aplica el BBP</t>
  </si>
  <si>
    <t>¿Ha recibido anteriormente apoyo</t>
  </si>
  <si>
    <t>habitacional?</t>
  </si>
  <si>
    <r>
      <t>Valor de Vivienda</t>
    </r>
    <r>
      <rPr>
        <b/>
        <sz val="11"/>
        <color rgb="FF0070C0"/>
        <rFont val="Calibri"/>
        <family val="2"/>
      </rPr>
      <t>₁ (S/)</t>
    </r>
  </si>
  <si>
    <r>
      <t>Cuota Inicial</t>
    </r>
    <r>
      <rPr>
        <b/>
        <sz val="11"/>
        <color rgb="FF0070C0"/>
        <rFont val="Calibri"/>
        <family val="2"/>
      </rPr>
      <t>₂ (S/)</t>
    </r>
  </si>
  <si>
    <t>Monto a financiar (S/)</t>
  </si>
  <si>
    <t>Cuota Mensual (S/)</t>
  </si>
  <si>
    <t>Bono del Buen Pagador₃ (S/)</t>
  </si>
  <si>
    <r>
      <t>Tasa Efectiva Anual</t>
    </r>
    <r>
      <rPr>
        <b/>
        <sz val="11"/>
        <color rgb="FF0070C0"/>
        <rFont val="Calibri"/>
        <family val="2"/>
      </rPr>
      <t>₅</t>
    </r>
  </si>
  <si>
    <t>Seguro Degravamen Mensual₆</t>
  </si>
  <si>
    <t>Seguro de Inmueble Anual₇</t>
  </si>
  <si>
    <t>Plazo (en meses)₈</t>
  </si>
  <si>
    <t>*Cuota hasta S/ 316800</t>
  </si>
  <si>
    <t>*Cuota hasta S/ 427600</t>
  </si>
  <si>
    <t>***Para mayor información sobre productos en nuestra página web www.mivivienda.com.pe en el enlace "personas en busca de vivienda" o en nuestra vía telefónica gratuita : 0800-12200</t>
  </si>
  <si>
    <t xml:space="preserve">Total BBP </t>
  </si>
  <si>
    <t>¿La vivienda es sostenible?₄</t>
  </si>
  <si>
    <t>*Cuota hasta S/ 232200</t>
  </si>
  <si>
    <t xml:space="preserve"> </t>
  </si>
  <si>
    <t>cuota fuera de 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</si>
</sst>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S/.&quot;#,##0.00;[Red]\-&quot;S/.&quot;#,##0.00"/>
    <numFmt numFmtId="165" formatCode="_-&quot;S/.&quot;* #,##0.00_-;\-&quot;S/.&quot;* #,##0.00_-;_-&quot;S/.&quot;* &quot;-&quot;??_-;_-@_-"/>
    <numFmt numFmtId="166" formatCode="&quot;S/.&quot;#,##0"/>
    <numFmt numFmtId="167" formatCode="&quot;S/.&quot;#,##0.00"/>
    <numFmt numFmtId="168" formatCode="_-[$S/-280A]* #,##0_-;\-[$S/-280A]* #,##0_-;_-[$S/-280A]* &quot;-&quot;??_-;_-@_-"/>
    <numFmt numFmtId="169" formatCode="&quot;S/&quot;#,##0"/>
    <numFmt numFmtId="170" formatCode="&quot;S/&quot;#,##0.00"/>
    <numFmt numFmtId="171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sz val="11"/>
      <color theme="2" tint="-0.749992370372631"/>
      <name val="Century Gothic"/>
      <family val="2"/>
    </font>
    <font>
      <sz val="8"/>
      <color theme="2" tint="-0.749992370372631"/>
      <name val="Century Gothic"/>
      <family val="2"/>
    </font>
    <font>
      <sz val="10"/>
      <color theme="1"/>
      <name val="Century Gothic"/>
      <family val="2"/>
    </font>
    <font>
      <sz val="11"/>
      <color rgb="FF0070C0"/>
      <name val="Century Gothic"/>
      <family val="2"/>
    </font>
    <font>
      <b/>
      <sz val="11"/>
      <color theme="0"/>
      <name val="Century Gothic"/>
      <family val="2"/>
    </font>
    <font>
      <sz val="8"/>
      <name val="Century Gothic"/>
      <family val="2"/>
    </font>
    <font>
      <b/>
      <sz val="10"/>
      <color theme="0"/>
      <name val="Century Gothic"/>
      <family val="2"/>
    </font>
    <font>
      <b/>
      <sz val="11"/>
      <color rgb="FF0070C0"/>
      <name val="Calibri"/>
      <family val="2"/>
    </font>
    <font>
      <b/>
      <sz val="11"/>
      <color theme="2" tint="-0.749992370372631"/>
      <name val="Century Gothic"/>
      <family val="2"/>
    </font>
    <font>
      <b/>
      <sz val="11"/>
      <color theme="1"/>
      <name val="Century Gothic"/>
      <family val="2"/>
    </font>
    <font>
      <b/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rgb="FFF7F7F7"/>
      <name val="Century Gothic"/>
      <family val="2"/>
    </font>
    <font>
      <b/>
      <sz val="9"/>
      <color theme="0"/>
      <name val="Century Gothic"/>
      <family val="2"/>
    </font>
    <font>
      <sz val="11"/>
      <color rgb="FFFF0000"/>
      <name val="Calibri"/>
      <family val="2"/>
      <scheme val="minor"/>
    </font>
    <font>
      <sz val="9"/>
      <color rgb="FFFF0000"/>
      <name val="Century Gothic"/>
      <family val="2"/>
    </font>
    <font>
      <sz val="11"/>
      <color rgb="FFFF0000"/>
      <name val="Century Gothic"/>
      <family val="2"/>
    </font>
    <font>
      <sz val="11"/>
      <name val="Calibri"/>
      <family val="2"/>
      <scheme val="minor"/>
    </font>
    <font>
      <sz val="9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F7F7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DA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Font="0" applyBorder="0" applyAlignment="0" applyProtection="0"/>
    <xf numFmtId="0" fontId="1" fillId="2" borderId="0" applyFont="0" applyBorder="0" applyAlignment="0" applyProtection="0"/>
    <xf numFmtId="0" fontId="16" fillId="0" borderId="0" applyNumberFormat="0" applyFill="0" applyBorder="0" applyAlignment="0" applyProtection="0"/>
  </cellStyleXfs>
  <cellXfs count="129"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/>
    </xf>
    <xf numFmtId="0" fontId="0" fillId="7" borderId="0" xfId="0" applyFill="1" applyAlignment="1" applyProtection="1">
      <alignment vertical="center"/>
    </xf>
    <xf numFmtId="0" fontId="0" fillId="0" borderId="0" xfId="0" applyProtection="1"/>
    <xf numFmtId="0" fontId="11" fillId="6" borderId="3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 wrapText="1"/>
    </xf>
    <xf numFmtId="167" fontId="11" fillId="6" borderId="4" xfId="0" applyNumberFormat="1" applyFont="1" applyFill="1" applyBorder="1" applyAlignment="1" applyProtection="1">
      <alignment horizontal="center" vertical="center" wrapText="1"/>
    </xf>
    <xf numFmtId="0" fontId="11" fillId="6" borderId="5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167" fontId="7" fillId="5" borderId="6" xfId="1" applyNumberFormat="1" applyFont="1" applyFill="1" applyBorder="1" applyAlignment="1" applyProtection="1">
      <alignment horizontal="center" vertical="center" wrapText="1"/>
    </xf>
    <xf numFmtId="164" fontId="7" fillId="5" borderId="6" xfId="0" applyNumberFormat="1" applyFont="1" applyFill="1" applyBorder="1" applyAlignment="1" applyProtection="1">
      <alignment horizontal="center" vertical="center" wrapText="1"/>
    </xf>
    <xf numFmtId="167" fontId="7" fillId="5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" fillId="7" borderId="0" xfId="0" applyFont="1" applyFill="1" applyAlignment="1" applyProtection="1">
      <alignment vertical="center"/>
    </xf>
    <xf numFmtId="170" fontId="7" fillId="0" borderId="0" xfId="1" applyNumberFormat="1" applyFont="1" applyFill="1" applyBorder="1" applyAlignment="1" applyProtection="1">
      <alignment horizontal="center" vertical="center" wrapText="1"/>
    </xf>
    <xf numFmtId="170" fontId="7" fillId="0" borderId="0" xfId="0" applyNumberFormat="1" applyFont="1" applyFill="1" applyBorder="1" applyAlignment="1" applyProtection="1">
      <alignment horizontal="center" vertical="center" wrapText="1"/>
    </xf>
    <xf numFmtId="170" fontId="7" fillId="0" borderId="0" xfId="1" applyNumberFormat="1" applyFont="1" applyFill="1" applyBorder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169" fontId="3" fillId="7" borderId="0" xfId="1" applyNumberFormat="1" applyFont="1" applyFill="1" applyBorder="1" applyAlignment="1" applyProtection="1">
      <alignment horizontal="center" vertical="center"/>
    </xf>
    <xf numFmtId="0" fontId="2" fillId="7" borderId="0" xfId="0" applyFont="1" applyFill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8" fillId="7" borderId="0" xfId="0" applyFont="1" applyFill="1" applyAlignment="1" applyProtection="1">
      <alignment horizontal="center" vertical="center"/>
    </xf>
    <xf numFmtId="0" fontId="8" fillId="7" borderId="0" xfId="0" applyFont="1" applyFill="1" applyAlignment="1" applyProtection="1">
      <alignment horizontal="center" vertical="center"/>
    </xf>
    <xf numFmtId="4" fontId="3" fillId="8" borderId="9" xfId="2" applyNumberFormat="1" applyFont="1" applyFill="1" applyBorder="1" applyAlignment="1" applyProtection="1">
      <alignment horizontal="center" vertical="center"/>
    </xf>
    <xf numFmtId="4" fontId="3" fillId="8" borderId="10" xfId="2" applyNumberFormat="1" applyFont="1" applyFill="1" applyBorder="1" applyAlignment="1" applyProtection="1">
      <alignment horizontal="center" vertical="center"/>
    </xf>
    <xf numFmtId="4" fontId="3" fillId="7" borderId="9" xfId="1" applyNumberFormat="1" applyFont="1" applyFill="1" applyBorder="1" applyAlignment="1" applyProtection="1">
      <alignment horizontal="center" vertical="center"/>
      <protection locked="0"/>
    </xf>
    <xf numFmtId="4" fontId="3" fillId="7" borderId="10" xfId="1" applyNumberFormat="1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 vertical="center"/>
    </xf>
    <xf numFmtId="168" fontId="3" fillId="7" borderId="9" xfId="1" applyNumberFormat="1" applyFont="1" applyFill="1" applyBorder="1" applyAlignment="1" applyProtection="1">
      <alignment horizontal="center" vertical="center"/>
      <protection locked="0"/>
    </xf>
    <xf numFmtId="168" fontId="3" fillId="7" borderId="10" xfId="1" applyNumberFormat="1" applyFont="1" applyFill="1" applyBorder="1" applyAlignment="1" applyProtection="1">
      <alignment horizontal="center" vertical="center"/>
      <protection locked="0"/>
    </xf>
    <xf numFmtId="170" fontId="3" fillId="0" borderId="9" xfId="0" applyNumberFormat="1" applyFont="1" applyFill="1" applyBorder="1" applyAlignment="1" applyProtection="1">
      <alignment horizontal="center" vertical="center"/>
      <protection locked="0"/>
    </xf>
    <xf numFmtId="17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9" borderId="0" xfId="0" applyFont="1" applyFill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168" fontId="13" fillId="8" borderId="9" xfId="0" applyNumberFormat="1" applyFont="1" applyFill="1" applyBorder="1" applyAlignment="1" applyProtection="1">
      <alignment horizontal="center" vertical="center"/>
    </xf>
    <xf numFmtId="168" fontId="13" fillId="8" borderId="10" xfId="0" applyNumberFormat="1" applyFont="1" applyFill="1" applyBorder="1" applyAlignment="1" applyProtection="1">
      <alignment horizontal="center" vertical="center"/>
    </xf>
    <xf numFmtId="4" fontId="3" fillId="8" borderId="9" xfId="0" applyNumberFormat="1" applyFont="1" applyFill="1" applyBorder="1" applyAlignment="1" applyProtection="1">
      <alignment horizontal="center" vertical="center"/>
    </xf>
    <xf numFmtId="4" fontId="3" fillId="8" borderId="10" xfId="0" applyNumberFormat="1" applyFont="1" applyFill="1" applyBorder="1" applyAlignment="1" applyProtection="1">
      <alignment horizontal="center" vertical="center"/>
    </xf>
    <xf numFmtId="10" fontId="3" fillId="8" borderId="9" xfId="2" applyNumberFormat="1" applyFont="1" applyFill="1" applyBorder="1" applyAlignment="1" applyProtection="1">
      <alignment horizontal="center" vertical="center"/>
    </xf>
    <xf numFmtId="10" fontId="3" fillId="8" borderId="10" xfId="2" applyNumberFormat="1" applyFont="1" applyFill="1" applyBorder="1" applyAlignment="1" applyProtection="1">
      <alignment horizontal="center" vertical="center"/>
    </xf>
    <xf numFmtId="1" fontId="3" fillId="7" borderId="9" xfId="0" applyNumberFormat="1" applyFont="1" applyFill="1" applyBorder="1" applyAlignment="1" applyProtection="1">
      <alignment horizontal="center" vertical="center"/>
      <protection locked="0"/>
    </xf>
    <xf numFmtId="1" fontId="3" fillId="7" borderId="10" xfId="0" applyNumberFormat="1" applyFont="1" applyFill="1" applyBorder="1" applyAlignment="1" applyProtection="1">
      <alignment horizontal="center" vertical="center"/>
      <protection locked="0"/>
    </xf>
    <xf numFmtId="10" fontId="3" fillId="8" borderId="1" xfId="2" applyNumberFormat="1" applyFont="1" applyFill="1" applyBorder="1" applyAlignment="1" applyProtection="1">
      <alignment horizontal="center" vertical="center"/>
    </xf>
    <xf numFmtId="10" fontId="3" fillId="8" borderId="2" xfId="2" applyNumberFormat="1" applyFont="1" applyFill="1" applyBorder="1" applyAlignment="1" applyProtection="1">
      <alignment horizontal="center" vertical="center"/>
    </xf>
    <xf numFmtId="10" fontId="3" fillId="10" borderId="9" xfId="2" applyNumberFormat="1" applyFont="1" applyFill="1" applyBorder="1" applyAlignment="1" applyProtection="1">
      <alignment horizontal="center" vertical="center"/>
      <protection locked="0"/>
    </xf>
    <xf numFmtId="10" fontId="3" fillId="10" borderId="10" xfId="2" applyNumberFormat="1" applyFont="1" applyFill="1" applyBorder="1" applyAlignment="1" applyProtection="1">
      <alignment horizontal="center" vertical="center"/>
      <protection locked="0"/>
    </xf>
    <xf numFmtId="10" fontId="3" fillId="0" borderId="9" xfId="2" applyNumberFormat="1" applyFont="1" applyFill="1" applyBorder="1" applyAlignment="1" applyProtection="1">
      <alignment horizontal="center" vertical="center"/>
      <protection locked="0"/>
    </xf>
    <xf numFmtId="10" fontId="3" fillId="0" borderId="10" xfId="2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7" fillId="0" borderId="0" xfId="5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vertical="center"/>
    </xf>
    <xf numFmtId="168" fontId="0" fillId="8" borderId="0" xfId="0" applyNumberFormat="1" applyFill="1" applyAlignment="1" applyProtection="1">
      <alignment horizontal="center" vertical="center"/>
    </xf>
    <xf numFmtId="0" fontId="21" fillId="8" borderId="0" xfId="0" applyFont="1" applyFill="1" applyAlignment="1" applyProtection="1">
      <alignment vertical="center"/>
    </xf>
    <xf numFmtId="0" fontId="0" fillId="10" borderId="0" xfId="0" applyFill="1" applyAlignment="1" applyProtection="1">
      <alignment vertical="center"/>
    </xf>
    <xf numFmtId="168" fontId="0" fillId="7" borderId="0" xfId="0" applyNumberFormat="1" applyFill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1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168" fontId="3" fillId="7" borderId="0" xfId="0" applyNumberFormat="1" applyFont="1" applyFill="1" applyAlignment="1" applyProtection="1">
      <alignment horizontal="center" vertical="center"/>
    </xf>
    <xf numFmtId="0" fontId="3" fillId="7" borderId="0" xfId="0" applyFont="1" applyFill="1" applyBorder="1" applyAlignment="1" applyProtection="1">
      <alignment vertical="center"/>
    </xf>
    <xf numFmtId="0" fontId="24" fillId="0" borderId="0" xfId="0" applyFont="1" applyProtection="1"/>
    <xf numFmtId="0" fontId="28" fillId="0" borderId="0" xfId="0" applyFont="1" applyFill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0" fillId="7" borderId="0" xfId="0" applyFont="1" applyFill="1" applyBorder="1" applyAlignment="1" applyProtection="1">
      <alignment horizontal="left" vertical="center" wrapText="1"/>
    </xf>
    <xf numFmtId="4" fontId="3" fillId="7" borderId="0" xfId="1" applyNumberFormat="1" applyFont="1" applyFill="1" applyBorder="1" applyAlignment="1" applyProtection="1">
      <alignment horizontal="center" vertical="center"/>
    </xf>
    <xf numFmtId="168" fontId="3" fillId="7" borderId="0" xfId="1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10" fillId="7" borderId="0" xfId="0" applyFont="1" applyFill="1" applyBorder="1" applyAlignment="1" applyProtection="1">
      <alignment horizontal="left" vertical="center" wrapText="1"/>
    </xf>
    <xf numFmtId="171" fontId="24" fillId="0" borderId="0" xfId="0" applyNumberFormat="1" applyFont="1" applyFill="1" applyAlignment="1" applyProtection="1">
      <alignment vertical="center"/>
    </xf>
    <xf numFmtId="9" fontId="24" fillId="0" borderId="0" xfId="0" applyNumberFormat="1" applyFont="1" applyFill="1" applyAlignment="1" applyProtection="1">
      <alignment vertical="center"/>
    </xf>
    <xf numFmtId="169" fontId="3" fillId="7" borderId="1" xfId="1" applyNumberFormat="1" applyFont="1" applyFill="1" applyBorder="1" applyAlignment="1" applyProtection="1">
      <alignment horizontal="center" vertical="center"/>
    </xf>
    <xf numFmtId="169" fontId="3" fillId="7" borderId="2" xfId="1" applyNumberFormat="1" applyFont="1" applyFill="1" applyBorder="1" applyAlignment="1" applyProtection="1">
      <alignment horizontal="center" vertical="center"/>
    </xf>
    <xf numFmtId="169" fontId="3" fillId="9" borderId="1" xfId="1" applyNumberFormat="1" applyFont="1" applyFill="1" applyBorder="1" applyAlignment="1" applyProtection="1">
      <alignment horizontal="center" vertical="center"/>
    </xf>
    <xf numFmtId="169" fontId="3" fillId="9" borderId="2" xfId="1" applyNumberFormat="1" applyFont="1" applyFill="1" applyBorder="1" applyAlignment="1" applyProtection="1">
      <alignment horizontal="center" vertical="center"/>
    </xf>
    <xf numFmtId="10" fontId="25" fillId="0" borderId="0" xfId="2" applyNumberFormat="1" applyFont="1" applyFill="1" applyAlignment="1" applyProtection="1">
      <alignment horizontal="center" vertical="center"/>
    </xf>
    <xf numFmtId="166" fontId="3" fillId="7" borderId="0" xfId="1" applyNumberFormat="1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0" fontId="4" fillId="7" borderId="0" xfId="0" applyFont="1" applyFill="1" applyAlignment="1" applyProtection="1">
      <alignment horizontal="center" vertical="center"/>
    </xf>
    <xf numFmtId="165" fontId="24" fillId="0" borderId="0" xfId="0" applyNumberFormat="1" applyFont="1" applyFill="1" applyAlignment="1" applyProtection="1">
      <alignment vertical="center"/>
    </xf>
    <xf numFmtId="4" fontId="24" fillId="0" borderId="0" xfId="0" applyNumberFormat="1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165" fontId="26" fillId="0" borderId="0" xfId="0" applyNumberFormat="1" applyFont="1" applyFill="1" applyAlignment="1" applyProtection="1">
      <alignment vertical="center"/>
    </xf>
    <xf numFmtId="0" fontId="10" fillId="7" borderId="0" xfId="0" applyFont="1" applyFill="1" applyBorder="1" applyAlignment="1" applyProtection="1">
      <alignment horizontal="left" vertical="center"/>
    </xf>
    <xf numFmtId="0" fontId="6" fillId="7" borderId="0" xfId="0" applyFont="1" applyFill="1" applyBorder="1" applyAlignment="1" applyProtection="1">
      <alignment horizontal="left" vertical="center"/>
    </xf>
    <xf numFmtId="169" fontId="24" fillId="0" borderId="0" xfId="0" applyNumberFormat="1" applyFont="1" applyFill="1" applyAlignment="1" applyProtection="1">
      <alignment vertical="center"/>
    </xf>
    <xf numFmtId="165" fontId="6" fillId="7" borderId="0" xfId="0" applyNumberFormat="1" applyFont="1" applyFill="1" applyBorder="1" applyAlignment="1" applyProtection="1">
      <alignment horizontal="left" vertical="center"/>
    </xf>
    <xf numFmtId="168" fontId="3" fillId="7" borderId="0" xfId="2" applyNumberFormat="1" applyFont="1" applyFill="1" applyBorder="1" applyAlignment="1" applyProtection="1">
      <alignment horizontal="center" vertical="center"/>
    </xf>
    <xf numFmtId="0" fontId="19" fillId="7" borderId="0" xfId="0" applyFont="1" applyFill="1" applyBorder="1" applyAlignment="1" applyProtection="1">
      <alignment horizontal="left" vertical="center"/>
    </xf>
    <xf numFmtId="168" fontId="6" fillId="7" borderId="0" xfId="0" applyNumberFormat="1" applyFont="1" applyFill="1" applyBorder="1" applyAlignment="1" applyProtection="1">
      <alignment horizontal="center" vertical="center"/>
    </xf>
    <xf numFmtId="2" fontId="19" fillId="7" borderId="0" xfId="0" applyNumberFormat="1" applyFont="1" applyFill="1" applyBorder="1" applyAlignment="1" applyProtection="1">
      <alignment horizontal="left" vertical="center"/>
    </xf>
    <xf numFmtId="4" fontId="14" fillId="8" borderId="9" xfId="1" applyNumberFormat="1" applyFont="1" applyFill="1" applyBorder="1" applyAlignment="1" applyProtection="1">
      <alignment horizontal="center" vertical="center"/>
    </xf>
    <xf numFmtId="4" fontId="14" fillId="8" borderId="10" xfId="1" applyNumberFormat="1" applyFont="1" applyFill="1" applyBorder="1" applyAlignment="1" applyProtection="1">
      <alignment horizontal="center" vertical="center"/>
    </xf>
    <xf numFmtId="0" fontId="6" fillId="7" borderId="0" xfId="0" applyNumberFormat="1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vertical="center"/>
    </xf>
    <xf numFmtId="9" fontId="3" fillId="7" borderId="0" xfId="2" applyFont="1" applyFill="1" applyAlignment="1" applyProtection="1">
      <alignment horizontal="center" vertical="center"/>
    </xf>
    <xf numFmtId="4" fontId="27" fillId="0" borderId="0" xfId="0" applyNumberFormat="1" applyFont="1" applyAlignment="1" applyProtection="1">
      <alignment horizontal="center" vertical="center"/>
    </xf>
    <xf numFmtId="9" fontId="3" fillId="8" borderId="1" xfId="2" applyFont="1" applyFill="1" applyBorder="1" applyAlignment="1" applyProtection="1">
      <alignment horizontal="center" vertical="center"/>
    </xf>
    <xf numFmtId="9" fontId="3" fillId="8" borderId="2" xfId="2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9" fontId="24" fillId="0" borderId="0" xfId="2" applyFont="1" applyAlignment="1" applyProtection="1">
      <alignment vertical="center"/>
    </xf>
    <xf numFmtId="9" fontId="21" fillId="8" borderId="0" xfId="0" applyNumberFormat="1" applyFont="1" applyFill="1" applyAlignment="1" applyProtection="1">
      <alignment vertical="center"/>
    </xf>
    <xf numFmtId="0" fontId="10" fillId="7" borderId="0" xfId="0" applyFont="1" applyFill="1" applyBorder="1" applyAlignment="1" applyProtection="1">
      <alignment horizontal="left" vertical="center"/>
    </xf>
    <xf numFmtId="9" fontId="3" fillId="7" borderId="0" xfId="2" applyFont="1" applyFill="1" applyBorder="1" applyAlignment="1" applyProtection="1">
      <alignment horizontal="center" vertical="center"/>
    </xf>
    <xf numFmtId="4" fontId="14" fillId="8" borderId="9" xfId="2" applyNumberFormat="1" applyFont="1" applyFill="1" applyBorder="1" applyAlignment="1" applyProtection="1">
      <alignment horizontal="center" vertical="center"/>
    </xf>
    <xf numFmtId="4" fontId="14" fillId="8" borderId="10" xfId="2" applyNumberFormat="1" applyFont="1" applyFill="1" applyBorder="1" applyAlignment="1" applyProtection="1">
      <alignment horizontal="center" vertical="center"/>
    </xf>
    <xf numFmtId="166" fontId="0" fillId="7" borderId="0" xfId="0" applyNumberFormat="1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0" fillId="11" borderId="0" xfId="0" applyFont="1" applyFill="1" applyAlignment="1" applyProtection="1">
      <alignment horizontal="left" vertical="center"/>
    </xf>
    <xf numFmtId="168" fontId="20" fillId="11" borderId="0" xfId="0" applyNumberFormat="1" applyFont="1" applyFill="1" applyAlignment="1" applyProtection="1">
      <alignment horizontal="center" vertical="center"/>
    </xf>
    <xf numFmtId="0" fontId="20" fillId="11" borderId="0" xfId="0" applyFont="1" applyFill="1" applyAlignment="1" applyProtection="1">
      <alignment horizontal="left" vertical="center" wrapText="1"/>
    </xf>
    <xf numFmtId="168" fontId="0" fillId="0" borderId="0" xfId="0" applyNumberFormat="1" applyAlignment="1" applyProtection="1">
      <alignment horizontal="center" vertical="center"/>
    </xf>
  </cellXfs>
  <cellStyles count="6">
    <cellStyle name="Estilo 1" xfId="3" xr:uid="{00000000-0005-0000-0000-000000000000}"/>
    <cellStyle name="Estilo 2" xfId="4" xr:uid="{00000000-0005-0000-0000-000001000000}"/>
    <cellStyle name="Hipervínculo" xfId="5" builtinId="8"/>
    <cellStyle name="Moneda" xfId="1" builtinId="4"/>
    <cellStyle name="Normal" xfId="0" builtinId="0"/>
    <cellStyle name="Porcentaje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&quot;S/.&quot;#,##0.00;[Red]\-&quot;S/.&quot;#,##0.00"/>
      <fill>
        <patternFill patternType="solid">
          <fgColor indexed="64"/>
          <bgColor rgb="FFF7F7F7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&quot;S/.&quot;#,##0.00"/>
      <fill>
        <patternFill patternType="solid">
          <fgColor indexed="64"/>
          <bgColor rgb="FFF7F7F7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&quot;S/.&quot;#,##0.00"/>
      <fill>
        <patternFill patternType="solid">
          <fgColor indexed="64"/>
          <bgColor rgb="FFF7F7F7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&quot;S/.&quot;#,##0.00"/>
      <fill>
        <patternFill patternType="solid">
          <fgColor indexed="64"/>
          <bgColor rgb="FFF7F7F7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&quot;S/.&quot;#,##0.00;[Red]\-&quot;S/.&quot;#,##0.00"/>
      <fill>
        <patternFill patternType="solid">
          <fgColor indexed="64"/>
          <bgColor rgb="FFF7F7F7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&quot;S/.&quot;#,##0.00;[Red]\-&quot;S/.&quot;#,##0.00"/>
      <fill>
        <patternFill patternType="solid">
          <fgColor indexed="64"/>
          <bgColor rgb="FFF7F7F7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&quot;S/.&quot;#,##0.00"/>
      <fill>
        <patternFill patternType="solid">
          <fgColor indexed="64"/>
          <bgColor rgb="FFF7F7F7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rgb="FFF7F7F7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rgb="FFF7F7F7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u/>
        <color theme="0"/>
      </font>
      <fill>
        <patternFill patternType="solid">
          <fgColor auto="1"/>
          <bgColor rgb="FF92D050"/>
        </patternFill>
      </fill>
      <border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0" defaultTableStyle="TableStyleMedium2" defaultPivotStyle="PivotStyleLight16"/>
  <colors>
    <mruColors>
      <color rgb="FFEF8943"/>
      <color rgb="FF8DC246"/>
      <color rgb="FF9BC048"/>
      <color rgb="FF61CEF5"/>
      <color rgb="FF63D8F3"/>
      <color rgb="FF5AC4F4"/>
      <color rgb="FFDAD8D8"/>
      <color rgb="FFFBFBFB"/>
      <color rgb="FFF7F7F7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3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21167</xdr:colOff>
      <xdr:row>34</xdr:row>
      <xdr:rowOff>38098</xdr:rowOff>
    </xdr:from>
    <xdr:to>
      <xdr:col>26</xdr:col>
      <xdr:colOff>751417</xdr:colOff>
      <xdr:row>59</xdr:row>
      <xdr:rowOff>180733</xdr:rowOff>
    </xdr:to>
    <xdr:pic>
      <xdr:nvPicPr>
        <xdr:cNvPr id="33" name="Imagen 32" descr="Mi Departamento for Android - APK Download">
          <a:extLst>
            <a:ext uri="{FF2B5EF4-FFF2-40B4-BE49-F238E27FC236}">
              <a16:creationId xmlns:a16="http://schemas.microsoft.com/office/drawing/2014/main" id="{48BEF95F-46CD-45E6-8166-EAAD20D1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9750" y="4842931"/>
          <a:ext cx="2254250" cy="3385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187097</xdr:colOff>
      <xdr:row>43</xdr:row>
      <xdr:rowOff>65663</xdr:rowOff>
    </xdr:from>
    <xdr:ext cx="3053103" cy="415575"/>
    <xdr:sp macro="" textlink="">
      <xdr:nvSpPr>
        <xdr:cNvPr id="17" name="Llamada rectangular redondeada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479014" y="8193663"/>
          <a:ext cx="3053103" cy="415575"/>
        </a:xfrm>
        <a:prstGeom prst="wedgeRoundRectCallout">
          <a:avLst>
            <a:gd name="adj1" fmla="val -56051"/>
            <a:gd name="adj2" fmla="val -7437"/>
            <a:gd name="adj3" fmla="val 16667"/>
          </a:avLst>
        </a:prstGeom>
        <a:solidFill>
          <a:srgbClr val="8DC246"/>
        </a:solidFill>
        <a:ln>
          <a:noFill/>
        </a:ln>
        <a:effectLst>
          <a:outerShdw blurRad="50800" dist="38100" dir="2700000" algn="tl" rotWithShape="0">
            <a:prstClr val="black">
              <a:alpha val="19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0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PE" sz="900" b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(₇) </a:t>
          </a:r>
          <a:r>
            <a:rPr lang="es-PE" sz="900" b="1">
              <a:latin typeface="Century Gothic" panose="020B0502020202020204" pitchFamily="34" charset="0"/>
            </a:rPr>
            <a:t>Tasa</a:t>
          </a:r>
          <a:r>
            <a:rPr lang="es-PE" sz="900" b="1" baseline="0">
              <a:latin typeface="Century Gothic" panose="020B0502020202020204" pitchFamily="34" charset="0"/>
            </a:rPr>
            <a:t> </a:t>
          </a:r>
          <a:r>
            <a:rPr lang="es-PE" sz="900" b="1">
              <a:latin typeface="Century Gothic" panose="020B0502020202020204" pitchFamily="34" charset="0"/>
            </a:rPr>
            <a:t>referencial, dependerá de la prima</a:t>
          </a:r>
          <a:r>
            <a:rPr lang="es-PE" sz="900" b="1" baseline="0">
              <a:latin typeface="Century Gothic" panose="020B0502020202020204" pitchFamily="34" charset="0"/>
            </a:rPr>
            <a:t> del seguro a contratar.</a:t>
          </a:r>
          <a:endParaRPr lang="es-PE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4</xdr:col>
      <xdr:colOff>136072</xdr:colOff>
      <xdr:row>3</xdr:row>
      <xdr:rowOff>8505</xdr:rowOff>
    </xdr:from>
    <xdr:to>
      <xdr:col>4</xdr:col>
      <xdr:colOff>440872</xdr:colOff>
      <xdr:row>4</xdr:row>
      <xdr:rowOff>122804</xdr:rowOff>
    </xdr:to>
    <xdr:sp macro="" textlink="">
      <xdr:nvSpPr>
        <xdr:cNvPr id="1025" name="AutoShape 1" descr="Imagen relacionad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2466295" y="697367"/>
          <a:ext cx="304800" cy="301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4</xdr:row>
      <xdr:rowOff>114299</xdr:rowOff>
    </xdr:to>
    <xdr:sp macro="" textlink="">
      <xdr:nvSpPr>
        <xdr:cNvPr id="1026" name="AutoShape 2" descr="Imagen relacionada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5240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4</xdr:row>
      <xdr:rowOff>114299</xdr:rowOff>
    </xdr:to>
    <xdr:sp macro="" textlink="">
      <xdr:nvSpPr>
        <xdr:cNvPr id="1027" name="AutoShape 3" descr="https://www.mivivienda.com.pe/PortalCMS/archivos/documentos/fmv-8435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5240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476704</xdr:colOff>
      <xdr:row>3</xdr:row>
      <xdr:rowOff>78885</xdr:rowOff>
    </xdr:from>
    <xdr:to>
      <xdr:col>9</xdr:col>
      <xdr:colOff>1162504</xdr:colOff>
      <xdr:row>5</xdr:row>
      <xdr:rowOff>112185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48529" y="1288560"/>
          <a:ext cx="6638925" cy="4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2200" b="1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  <a:ea typeface="MS Gothic" panose="020B0609070205080204" pitchFamily="49" charset="-128"/>
            </a:rPr>
            <a:t>SIMULADOR DE NUEVO</a:t>
          </a:r>
          <a:r>
            <a:rPr lang="es-PE" sz="2200" b="1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  <a:ea typeface="MS Gothic" panose="020B0609070205080204" pitchFamily="49" charset="-128"/>
            </a:rPr>
            <a:t> CRÉDITO MIVIVIENDA</a:t>
          </a:r>
          <a:endParaRPr lang="es-PE" sz="2200" b="1">
            <a:ln>
              <a:noFill/>
            </a:ln>
            <a:solidFill>
              <a:schemeClr val="tx1">
                <a:lumMod val="65000"/>
                <a:lumOff val="35000"/>
              </a:schemeClr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latin typeface="Century Gothic" panose="020B0502020202020204" pitchFamily="34" charset="0"/>
            <a:ea typeface="MS Gothic" panose="020B0609070205080204" pitchFamily="49" charset="-128"/>
          </a:endParaRPr>
        </a:p>
      </xdr:txBody>
    </xdr:sp>
    <xdr:clientData/>
  </xdr:twoCellAnchor>
  <xdr:twoCellAnchor>
    <xdr:from>
      <xdr:col>5</xdr:col>
      <xdr:colOff>550069</xdr:colOff>
      <xdr:row>53</xdr:row>
      <xdr:rowOff>196452</xdr:rowOff>
    </xdr:from>
    <xdr:to>
      <xdr:col>7</xdr:col>
      <xdr:colOff>465534</xdr:colOff>
      <xdr:row>57</xdr:row>
      <xdr:rowOff>74083</xdr:rowOff>
    </xdr:to>
    <xdr:sp macro="[0]!Limpiar2" textlink="">
      <xdr:nvSpPr>
        <xdr:cNvPr id="15" name="Rectángulo redonde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53402" y="7583619"/>
          <a:ext cx="1704049" cy="406797"/>
        </a:xfrm>
        <a:prstGeom prst="roundRect">
          <a:avLst/>
        </a:prstGeom>
        <a:solidFill>
          <a:srgbClr val="61CEF5"/>
        </a:solidFill>
        <a:ln w="12700" cap="flat" cmpd="sng" algn="ctr">
          <a:noFill/>
          <a:prstDash val="solid"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Limpiar</a:t>
          </a:r>
          <a:endParaRPr kumimoji="0" lang="es-PE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401241</xdr:colOff>
      <xdr:row>53</xdr:row>
      <xdr:rowOff>202405</xdr:rowOff>
    </xdr:from>
    <xdr:to>
      <xdr:col>5</xdr:col>
      <xdr:colOff>279797</xdr:colOff>
      <xdr:row>57</xdr:row>
      <xdr:rowOff>80036</xdr:rowOff>
    </xdr:to>
    <xdr:sp macro="[0]!Módulo6.cronograma" textlink="">
      <xdr:nvSpPr>
        <xdr:cNvPr id="16" name="Rectángulo redonde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338241" y="7589572"/>
          <a:ext cx="1444889" cy="406797"/>
        </a:xfrm>
        <a:prstGeom prst="roundRect">
          <a:avLst/>
        </a:prstGeom>
        <a:solidFill>
          <a:srgbClr val="61CEF5"/>
        </a:solidFill>
        <a:ln w="12700" cap="flat" cmpd="sng" algn="ctr">
          <a:noFill/>
          <a:prstDash val="solid"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Cronograma</a:t>
          </a:r>
          <a:endParaRPr kumimoji="0" lang="es-PE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oneCellAnchor>
    <xdr:from>
      <xdr:col>7</xdr:col>
      <xdr:colOff>187097</xdr:colOff>
      <xdr:row>46</xdr:row>
      <xdr:rowOff>59024</xdr:rowOff>
    </xdr:from>
    <xdr:ext cx="3053103" cy="415575"/>
    <xdr:sp macro="" textlink="">
      <xdr:nvSpPr>
        <xdr:cNvPr id="20" name="Llamada rectangular redondeada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79014" y="8631524"/>
          <a:ext cx="3053103" cy="415575"/>
        </a:xfrm>
        <a:prstGeom prst="wedgeRoundRectCallout">
          <a:avLst>
            <a:gd name="adj1" fmla="val -56400"/>
            <a:gd name="adj2" fmla="val -30116"/>
            <a:gd name="adj3" fmla="val 16667"/>
          </a:avLst>
        </a:prstGeom>
        <a:solidFill>
          <a:srgbClr val="8DC246"/>
        </a:solidFill>
        <a:ln>
          <a:noFill/>
        </a:ln>
        <a:effectLst>
          <a:outerShdw blurRad="50800" dist="38100" dir="2700000" algn="tl" rotWithShape="0">
            <a:prstClr val="black">
              <a:alpha val="19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lang="es-PE" sz="900" b="0">
              <a:latin typeface="Century Gothic" panose="020B0502020202020204" pitchFamily="34" charset="0"/>
            </a:rPr>
            <a:t>(₈) </a:t>
          </a:r>
          <a:r>
            <a:rPr lang="es-PE" sz="900" b="1">
              <a:latin typeface="Century Gothic" panose="020B0502020202020204" pitchFamily="34" charset="0"/>
            </a:rPr>
            <a:t>El</a:t>
          </a:r>
          <a:r>
            <a:rPr lang="es-PE" sz="900" b="1" baseline="0">
              <a:latin typeface="Century Gothic" panose="020B0502020202020204" pitchFamily="34" charset="0"/>
            </a:rPr>
            <a:t> plazo debe ser como mínimo 60 meses y como máximo 300 meses.</a:t>
          </a:r>
          <a:endParaRPr lang="es-PE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7</xdr:col>
      <xdr:colOff>170089</xdr:colOff>
      <xdr:row>38</xdr:row>
      <xdr:rowOff>142442</xdr:rowOff>
    </xdr:from>
    <xdr:ext cx="3078616" cy="415575"/>
    <xdr:sp macro="" textlink="">
      <xdr:nvSpPr>
        <xdr:cNvPr id="22" name="Llamada rectangular redondeada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462006" y="7741275"/>
          <a:ext cx="3078616" cy="415575"/>
        </a:xfrm>
        <a:prstGeom prst="wedgeRoundRectCallout">
          <a:avLst>
            <a:gd name="adj1" fmla="val -55780"/>
            <a:gd name="adj2" fmla="val 10912"/>
            <a:gd name="adj3" fmla="val 16667"/>
          </a:avLst>
        </a:prstGeom>
        <a:solidFill>
          <a:srgbClr val="8DC246"/>
        </a:solidFill>
        <a:ln>
          <a:noFill/>
        </a:ln>
        <a:effectLst>
          <a:outerShdw blurRad="50800" dist="38100" dir="2700000" algn="tl" rotWithShape="0">
            <a:prstClr val="black">
              <a:alpha val="19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0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PE" sz="900" b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(₆) </a:t>
          </a:r>
          <a:r>
            <a:rPr lang="es-PE" sz="9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Tasa</a:t>
          </a:r>
          <a:r>
            <a:rPr lang="es-PE" sz="900" b="1">
              <a:latin typeface="Century Gothic" panose="020B0502020202020204" pitchFamily="34" charset="0"/>
            </a:rPr>
            <a:t> referencial, dependerá de la prima</a:t>
          </a:r>
          <a:r>
            <a:rPr lang="es-PE" sz="900" b="1" baseline="0">
              <a:latin typeface="Century Gothic" panose="020B0502020202020204" pitchFamily="34" charset="0"/>
            </a:rPr>
            <a:t> del seguro a contratar.</a:t>
          </a:r>
          <a:endParaRPr lang="es-PE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7</xdr:col>
      <xdr:colOff>198966</xdr:colOff>
      <xdr:row>29</xdr:row>
      <xdr:rowOff>52661</xdr:rowOff>
    </xdr:from>
    <xdr:ext cx="3082018" cy="415575"/>
    <xdr:sp macro="" textlink="">
      <xdr:nvSpPr>
        <xdr:cNvPr id="18" name="Llamada rectangular redondeada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708899" y="4446861"/>
          <a:ext cx="3082018" cy="415575"/>
        </a:xfrm>
        <a:prstGeom prst="wedgeRoundRectCallout">
          <a:avLst>
            <a:gd name="adj1" fmla="val -55935"/>
            <a:gd name="adj2" fmla="val -15150"/>
            <a:gd name="adj3" fmla="val 16667"/>
          </a:avLst>
        </a:prstGeom>
        <a:solidFill>
          <a:srgbClr val="8DC246"/>
        </a:solidFill>
        <a:ln>
          <a:noFill/>
        </a:ln>
        <a:effectLst>
          <a:outerShdw blurRad="50800" dist="38100" dir="2700000" algn="tl" rotWithShape="0">
            <a:prstClr val="black">
              <a:alpha val="19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lang="es-PE" sz="900" b="0">
              <a:latin typeface="Century Gothic" panose="020B0502020202020204" pitchFamily="34" charset="0"/>
            </a:rPr>
            <a:t>(</a:t>
          </a:r>
          <a:r>
            <a:rPr lang="es-PE" sz="900" b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₄</a:t>
          </a:r>
          <a:r>
            <a:rPr lang="es-PE" sz="900" b="0">
              <a:latin typeface="Century Gothic" panose="020B0502020202020204" pitchFamily="34" charset="0"/>
            </a:rPr>
            <a:t>) </a:t>
          </a:r>
          <a:r>
            <a:rPr lang="es-PE" sz="900" b="1">
              <a:latin typeface="Century Gothic" panose="020B0502020202020204" pitchFamily="34" charset="0"/>
            </a:rPr>
            <a:t>Proyecto</a:t>
          </a:r>
          <a:r>
            <a:rPr lang="es-PE" sz="900" b="1" baseline="0">
              <a:latin typeface="Century Gothic" panose="020B0502020202020204" pitchFamily="34" charset="0"/>
            </a:rPr>
            <a:t> certificado que puede acceder al BBP Sostenible.</a:t>
          </a:r>
          <a:endParaRPr lang="es-PE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7</xdr:col>
      <xdr:colOff>170089</xdr:colOff>
      <xdr:row>36</xdr:row>
      <xdr:rowOff>4657</xdr:rowOff>
    </xdr:from>
    <xdr:ext cx="3095625" cy="415575"/>
    <xdr:sp macro="" textlink="">
      <xdr:nvSpPr>
        <xdr:cNvPr id="21" name="Llamada rectangular redondeada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462006" y="5412740"/>
          <a:ext cx="3095625" cy="415575"/>
        </a:xfrm>
        <a:prstGeom prst="wedgeRoundRectCallout">
          <a:avLst>
            <a:gd name="adj1" fmla="val -55511"/>
            <a:gd name="adj2" fmla="val 34953"/>
            <a:gd name="adj3" fmla="val 16667"/>
          </a:avLst>
        </a:prstGeom>
        <a:solidFill>
          <a:srgbClr val="8DC246"/>
        </a:solidFill>
        <a:ln>
          <a:noFill/>
        </a:ln>
        <a:effectLst>
          <a:outerShdw blurRad="50800" dist="38100" dir="2700000" algn="tl" rotWithShape="0">
            <a:prstClr val="black">
              <a:alpha val="19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0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PE" sz="900" b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(₅) </a:t>
          </a:r>
          <a:r>
            <a:rPr lang="es-PE" sz="900" b="1">
              <a:latin typeface="Century Gothic" panose="020B0502020202020204" pitchFamily="34" charset="0"/>
            </a:rPr>
            <a:t>Tasa referencial sujeta</a:t>
          </a:r>
          <a:r>
            <a:rPr lang="es-PE" sz="900" b="1" baseline="0">
              <a:latin typeface="Century Gothic" panose="020B0502020202020204" pitchFamily="34" charset="0"/>
            </a:rPr>
            <a:t> a otras condiciones de la entidad financiera.</a:t>
          </a:r>
          <a:endParaRPr lang="es-PE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6</xdr:col>
      <xdr:colOff>642181</xdr:colOff>
      <xdr:row>6</xdr:row>
      <xdr:rowOff>187478</xdr:rowOff>
    </xdr:from>
    <xdr:to>
      <xdr:col>6</xdr:col>
      <xdr:colOff>997145</xdr:colOff>
      <xdr:row>7</xdr:row>
      <xdr:rowOff>163039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100000" l="0" r="100000">
                      <a14:foregroundMark x1="47111" y1="34222" x2="47111" y2="9778"/>
                    </a14:backgroundRemoval>
                  </a14:imgEffect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7514" y="1976061"/>
          <a:ext cx="354964" cy="356561"/>
        </a:xfrm>
        <a:prstGeom prst="rect">
          <a:avLst/>
        </a:prstGeom>
      </xdr:spPr>
    </xdr:pic>
    <xdr:clientData/>
  </xdr:twoCellAnchor>
  <xdr:twoCellAnchor>
    <xdr:from>
      <xdr:col>1</xdr:col>
      <xdr:colOff>178986</xdr:colOff>
      <xdr:row>6</xdr:row>
      <xdr:rowOff>278606</xdr:rowOff>
    </xdr:from>
    <xdr:to>
      <xdr:col>6</xdr:col>
      <xdr:colOff>751417</xdr:colOff>
      <xdr:row>8</xdr:row>
      <xdr:rowOff>18369</xdr:rowOff>
    </xdr:to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591986" y="2067189"/>
          <a:ext cx="4424764" cy="311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400" b="1">
              <a:ln>
                <a:noFill/>
              </a:ln>
              <a:solidFill>
                <a:srgbClr val="EF8943"/>
              </a:solidFill>
              <a:effectLst/>
              <a:latin typeface="Century Gothic" panose="020B0502020202020204" pitchFamily="34" charset="0"/>
              <a:ea typeface="MS Gothic" panose="020B0609070205080204" pitchFamily="49" charset="-128"/>
            </a:rPr>
            <a:t>Después de llenar cada campo presione</a:t>
          </a:r>
          <a:r>
            <a:rPr lang="es-PE" sz="1400" b="1" baseline="0">
              <a:ln>
                <a:noFill/>
              </a:ln>
              <a:solidFill>
                <a:srgbClr val="EF8943"/>
              </a:solidFill>
              <a:effectLst/>
              <a:latin typeface="Century Gothic" panose="020B0502020202020204" pitchFamily="34" charset="0"/>
              <a:ea typeface="MS Gothic" panose="020B0609070205080204" pitchFamily="49" charset="-128"/>
            </a:rPr>
            <a:t> ENTER</a:t>
          </a:r>
          <a:endParaRPr lang="es-PE" sz="1400" b="1">
            <a:ln>
              <a:noFill/>
            </a:ln>
            <a:solidFill>
              <a:srgbClr val="EF8943"/>
            </a:solidFill>
            <a:effectLst/>
            <a:latin typeface="Century Gothic" panose="020B0502020202020204" pitchFamily="34" charset="0"/>
            <a:ea typeface="MS Gothic" panose="020B0609070205080204" pitchFamily="49" charset="-128"/>
          </a:endParaRPr>
        </a:p>
      </xdr:txBody>
    </xdr:sp>
    <xdr:clientData/>
  </xdr:twoCellAnchor>
  <xdr:twoCellAnchor editAs="oneCell">
    <xdr:from>
      <xdr:col>0</xdr:col>
      <xdr:colOff>19050</xdr:colOff>
      <xdr:row>1</xdr:row>
      <xdr:rowOff>74085</xdr:rowOff>
    </xdr:from>
    <xdr:to>
      <xdr:col>0</xdr:col>
      <xdr:colOff>2338917</xdr:colOff>
      <xdr:row>22</xdr:row>
      <xdr:rowOff>147465</xdr:rowOff>
    </xdr:to>
    <xdr:pic>
      <xdr:nvPicPr>
        <xdr:cNvPr id="25" name="Imagen 24" descr="Mi Departamento for Android - APK Download">
          <a:extLst>
            <a:ext uri="{FF2B5EF4-FFF2-40B4-BE49-F238E27FC236}">
              <a16:creationId xmlns:a16="http://schemas.microsoft.com/office/drawing/2014/main" id="{CF5FAC64-FEC7-4E34-9517-ED13FD83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92668"/>
          <a:ext cx="2319867" cy="3447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87843</xdr:colOff>
      <xdr:row>6</xdr:row>
      <xdr:rowOff>378623</xdr:rowOff>
    </xdr:from>
    <xdr:to>
      <xdr:col>26</xdr:col>
      <xdr:colOff>723123</xdr:colOff>
      <xdr:row>14</xdr:row>
      <xdr:rowOff>107344</xdr:rowOff>
    </xdr:to>
    <xdr:pic>
      <xdr:nvPicPr>
        <xdr:cNvPr id="40" name="Imagen 39">
          <a:extLst>
            <a:ext uri="{FF2B5EF4-FFF2-40B4-BE49-F238E27FC236}">
              <a16:creationId xmlns:a16="http://schemas.microsoft.com/office/drawing/2014/main" id="{A4CF419A-04FD-44D5-A1B1-BB54C83BB1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1852" b="98545" l="2876" r="99808">
                      <a14:foregroundMark x1="36242" y1="27381" x2="49185" y2="13757"/>
                      <a14:foregroundMark x1="50144" y1="13757" x2="64046" y2="27381"/>
                      <a14:foregroundMark x1="47172" y1="14418" x2="35762" y2="25397"/>
                      <a14:foregroundMark x1="33749" y1="31481" x2="51198" y2="17857"/>
                      <a14:foregroundMark x1="49664" y1="21958" x2="56568" y2="36243"/>
                      <a14:foregroundMark x1="42665" y1="45899" x2="59060" y2="46561"/>
                      <a14:foregroundMark x1="61553" y1="49339" x2="58102" y2="43783"/>
                      <a14:foregroundMark x1="62608" y1="50000" x2="62608" y2="50000"/>
                      <a14:foregroundMark x1="64046" y1="30820" x2="64046" y2="30820"/>
                      <a14:foregroundMark x1="33269" y1="28704" x2="33269" y2="28704"/>
                      <a14:foregroundMark x1="35762" y1="26720" x2="42665" y2="22619"/>
                      <a14:foregroundMark x1="10930" y1="65741" x2="10930" y2="65741"/>
                      <a14:foregroundMark x1="14382" y1="67857" x2="14382" y2="67857"/>
                      <a14:foregroundMark x1="15916" y1="64418" x2="15916" y2="64418"/>
                      <a14:foregroundMark x1="12368" y1="61640" x2="12368" y2="61640"/>
                      <a14:foregroundMark x1="18408" y1="64418" x2="20326" y2="69841"/>
                      <a14:foregroundMark x1="23298" y1="69841" x2="22819" y2="61640"/>
                      <a14:foregroundMark x1="10930" y1="68519" x2="11889" y2="59524"/>
                      <a14:foregroundMark x1="14382" y1="70503" x2="15916" y2="60979"/>
                      <a14:foregroundMark x1="12368" y1="66402" x2="14861" y2="70503"/>
                      <a14:foregroundMark x1="26366" y1="67857" x2="29818" y2="67857"/>
                      <a14:foregroundMark x1="29338" y1="66402" x2="29338" y2="63757"/>
                      <a14:foregroundMark x1="34803" y1="68519" x2="31735" y2="65079"/>
                      <a14:foregroundMark x1="34803" y1="69180" x2="36721" y2="62963"/>
                      <a14:foregroundMark x1="40268" y1="63757" x2="39693" y2="67857"/>
                      <a14:foregroundMark x1="42665" y1="70503" x2="43720" y2="65741"/>
                      <a14:foregroundMark x1="49185" y1="68519" x2="50623" y2="60317"/>
                      <a14:foregroundMark x1="51678" y1="70503" x2="55129" y2="69180"/>
                      <a14:foregroundMark x1="56088" y1="67063" x2="57622" y2="60979"/>
                      <a14:foregroundMark x1="57622" y1="67857" x2="57143" y2="71296"/>
                      <a14:foregroundMark x1="62033" y1="69180" x2="61553" y2="63757"/>
                      <a14:foregroundMark x1="65101" y1="58862" x2="65101" y2="58862"/>
                      <a14:foregroundMark x1="68073" y1="65741" x2="68073" y2="65741"/>
                      <a14:foregroundMark x1="72483" y1="67063" x2="71045" y2="60979"/>
                      <a14:foregroundMark x1="70566" y1="69841" x2="72004" y2="68519"/>
                      <a14:foregroundMark x1="75935" y1="69841" x2="75935" y2="62302"/>
                      <a14:foregroundMark x1="75935" y1="60317" x2="75935" y2="58201"/>
                      <a14:foregroundMark x1="79003" y1="67063" x2="79962" y2="61640"/>
                      <a14:foregroundMark x1="84468" y1="68519" x2="84468" y2="64418"/>
                      <a14:foregroundMark x1="87919" y1="68519" x2="87919" y2="65741"/>
                      <a14:foregroundMark x1="34228" y1="48677" x2="38255" y2="47222"/>
                      <a14:foregroundMark x1="60594" y1="54101" x2="54650" y2="50000"/>
                      <a14:foregroundMark x1="36721" y1="83598" x2="36721" y2="79497"/>
                      <a14:foregroundMark x1="39693" y1="83598" x2="37776" y2="76720"/>
                      <a14:foregroundMark x1="42186" y1="80820" x2="43241" y2="77381"/>
                      <a14:foregroundMark x1="79962" y1="70503" x2="78428" y2="67857"/>
                      <a14:foregroundMark x1="82934" y1="84259" x2="82934" y2="82143"/>
                      <a14:foregroundMark x1="87919" y1="82937" x2="87919" y2="80820"/>
                      <a14:foregroundMark x1="68073" y1="81481" x2="66539" y2="78704"/>
                      <a14:foregroundMark x1="72963" y1="83598" x2="72004" y2="79497"/>
                      <a14:foregroundMark x1="60115" y1="84921" x2="61074" y2="80820"/>
                      <a14:foregroundMark x1="64046" y1="83598" x2="63087" y2="78042"/>
                      <a14:foregroundMark x1="63567" y1="77381" x2="63567" y2="77381"/>
                      <a14:foregroundMark x1="55129" y1="76058" x2="55129" y2="76058"/>
                      <a14:foregroundMark x1="55609" y1="82937" x2="55609" y2="80159"/>
                      <a14:foregroundMark x1="51198" y1="85582" x2="52157" y2="83598"/>
                      <a14:foregroundMark x1="46692" y1="83598" x2="46692" y2="80820"/>
                      <a14:foregroundMark x1="46692" y1="75397" x2="46692" y2="75397"/>
                      <a14:foregroundMark x1="72004" y1="62302" x2="72004" y2="70503"/>
                      <a14:foregroundMark x1="26846" y1="71296" x2="29338" y2="70503"/>
                      <a14:foregroundMark x1="71524" y1="64418" x2="67498" y2="64418"/>
                      <a14:foregroundMark x1="62033" y1="67063" x2="64525" y2="6296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7134" b="9637"/>
        <a:stretch/>
      </xdr:blipFill>
      <xdr:spPr>
        <a:xfrm>
          <a:off x="10766426" y="2167206"/>
          <a:ext cx="2159280" cy="1304126"/>
        </a:xfrm>
        <a:prstGeom prst="rect">
          <a:avLst/>
        </a:prstGeom>
      </xdr:spPr>
    </xdr:pic>
    <xdr:clientData/>
  </xdr:twoCellAnchor>
  <xdr:twoCellAnchor editAs="oneCell">
    <xdr:from>
      <xdr:col>24</xdr:col>
      <xdr:colOff>11759</xdr:colOff>
      <xdr:row>1</xdr:row>
      <xdr:rowOff>206374</xdr:rowOff>
    </xdr:from>
    <xdr:to>
      <xdr:col>30</xdr:col>
      <xdr:colOff>63500</xdr:colOff>
      <xdr:row>6</xdr:row>
      <xdr:rowOff>105833</xdr:rowOff>
    </xdr:to>
    <xdr:pic>
      <xdr:nvPicPr>
        <xdr:cNvPr id="42" name="Imagen 41" descr="Fondo MIVIVIENDA - Notas de Prensa - Detalle">
          <a:extLst>
            <a:ext uri="{FF2B5EF4-FFF2-40B4-BE49-F238E27FC236}">
              <a16:creationId xmlns:a16="http://schemas.microsoft.com/office/drawing/2014/main" id="{5DD62943-44A5-4E31-B7F1-78B2CFA1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0342" y="724957"/>
          <a:ext cx="2337741" cy="1169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190501</xdr:colOff>
      <xdr:row>9</xdr:row>
      <xdr:rowOff>96308</xdr:rowOff>
    </xdr:from>
    <xdr:ext cx="3112300" cy="415575"/>
    <xdr:sp macro="" textlink="">
      <xdr:nvSpPr>
        <xdr:cNvPr id="43" name="Llamada rectangular redondeada 3">
          <a:extLst>
            <a:ext uri="{FF2B5EF4-FFF2-40B4-BE49-F238E27FC236}">
              <a16:creationId xmlns:a16="http://schemas.microsoft.com/office/drawing/2014/main" id="{56E60E85-24D3-46FE-BAFB-631C90E9AB58}"/>
            </a:ext>
          </a:extLst>
        </xdr:cNvPr>
        <xdr:cNvSpPr/>
      </xdr:nvSpPr>
      <xdr:spPr>
        <a:xfrm>
          <a:off x="7482418" y="2625725"/>
          <a:ext cx="3112300" cy="415575"/>
        </a:xfrm>
        <a:prstGeom prst="wedgeRoundRectCallout">
          <a:avLst>
            <a:gd name="adj1" fmla="val -56009"/>
            <a:gd name="adj2" fmla="val 32681"/>
            <a:gd name="adj3" fmla="val 16667"/>
          </a:avLst>
        </a:prstGeom>
        <a:solidFill>
          <a:schemeClr val="accent5"/>
        </a:solidFill>
        <a:ln>
          <a:noFill/>
        </a:ln>
        <a:effectLst>
          <a:outerShdw blurRad="50800" dist="38100" dir="2700000" algn="tl" rotWithShape="0">
            <a:prstClr val="black">
              <a:alpha val="19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lang="es-PE" sz="900" b="0">
              <a:latin typeface="Century Gothic" panose="020B0502020202020204" pitchFamily="34" charset="0"/>
            </a:rPr>
            <a:t>(₁) </a:t>
          </a:r>
          <a:r>
            <a:rPr lang="es-PE" sz="900" b="1">
              <a:latin typeface="Century Gothic" panose="020B0502020202020204" pitchFamily="34" charset="0"/>
            </a:rPr>
            <a:t>Valor del inmueble o valor referencial dentro del rango de S/</a:t>
          </a:r>
          <a:r>
            <a:rPr lang="es-PE" sz="900" b="1" baseline="0">
              <a:latin typeface="Century Gothic" panose="020B0502020202020204" pitchFamily="34" charset="0"/>
            </a:rPr>
            <a:t> 65</a:t>
          </a:r>
          <a:r>
            <a:rPr lang="es-PE" sz="900" b="1">
              <a:latin typeface="Century Gothic" panose="020B0502020202020204" pitchFamily="34" charset="0"/>
            </a:rPr>
            <a:t>,200 hasta S/ 464,200</a:t>
          </a:r>
        </a:p>
      </xdr:txBody>
    </xdr:sp>
    <xdr:clientData/>
  </xdr:oneCellAnchor>
  <xdr:oneCellAnchor>
    <xdr:from>
      <xdr:col>7</xdr:col>
      <xdr:colOff>231444</xdr:colOff>
      <xdr:row>14</xdr:row>
      <xdr:rowOff>84666</xdr:rowOff>
    </xdr:from>
    <xdr:ext cx="3072299" cy="415575"/>
    <xdr:sp macro="" textlink="">
      <xdr:nvSpPr>
        <xdr:cNvPr id="44" name="Llamada rectangular redondeada 11">
          <a:extLst>
            <a:ext uri="{FF2B5EF4-FFF2-40B4-BE49-F238E27FC236}">
              <a16:creationId xmlns:a16="http://schemas.microsoft.com/office/drawing/2014/main" id="{F0C1B534-8124-45AD-8D9E-0CCE1C1013FD}"/>
            </a:ext>
          </a:extLst>
        </xdr:cNvPr>
        <xdr:cNvSpPr/>
      </xdr:nvSpPr>
      <xdr:spPr>
        <a:xfrm>
          <a:off x="7741377" y="3471333"/>
          <a:ext cx="3072299" cy="415575"/>
        </a:xfrm>
        <a:prstGeom prst="wedgeRoundRectCallout">
          <a:avLst>
            <a:gd name="adj1" fmla="val -55866"/>
            <a:gd name="adj2" fmla="val -6593"/>
            <a:gd name="adj3" fmla="val 16667"/>
          </a:avLst>
        </a:prstGeom>
        <a:solidFill>
          <a:schemeClr val="accent5"/>
        </a:solidFill>
        <a:ln>
          <a:noFill/>
        </a:ln>
        <a:effectLst>
          <a:outerShdw blurRad="50800" dist="38100" dir="2700000" algn="tl" rotWithShape="0">
            <a:prstClr val="black">
              <a:alpha val="19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lang="es-PE" sz="900" b="0">
              <a:latin typeface="Century Gothic" panose="020B0502020202020204" pitchFamily="34" charset="0"/>
            </a:rPr>
            <a:t>(₂) </a:t>
          </a:r>
          <a:r>
            <a:rPr lang="es-PE" sz="900" b="1">
              <a:latin typeface="Century Gothic" panose="020B0502020202020204" pitchFamily="34" charset="0"/>
            </a:rPr>
            <a:t>Valor de la cuota inicial</a:t>
          </a:r>
          <a:r>
            <a:rPr lang="es-PE" sz="900" b="1" baseline="0">
              <a:latin typeface="Century Gothic" panose="020B0502020202020204" pitchFamily="34" charset="0"/>
            </a:rPr>
            <a:t> debe ser mínimo el 7.5% del valor de vivienda. </a:t>
          </a:r>
          <a:endParaRPr lang="es-PE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7</xdr:col>
      <xdr:colOff>220133</xdr:colOff>
      <xdr:row>25</xdr:row>
      <xdr:rowOff>71759</xdr:rowOff>
    </xdr:from>
    <xdr:ext cx="3088820" cy="415575"/>
    <xdr:sp macro="" textlink="">
      <xdr:nvSpPr>
        <xdr:cNvPr id="45" name="Llamada rectangular redondeada 12">
          <a:extLst>
            <a:ext uri="{FF2B5EF4-FFF2-40B4-BE49-F238E27FC236}">
              <a16:creationId xmlns:a16="http://schemas.microsoft.com/office/drawing/2014/main" id="{35F096AB-E26B-457D-A635-21B8F2864632}"/>
            </a:ext>
          </a:extLst>
        </xdr:cNvPr>
        <xdr:cNvSpPr/>
      </xdr:nvSpPr>
      <xdr:spPr>
        <a:xfrm>
          <a:off x="7730066" y="3957959"/>
          <a:ext cx="3088820" cy="415575"/>
        </a:xfrm>
        <a:prstGeom prst="wedgeRoundRectCallout">
          <a:avLst>
            <a:gd name="adj1" fmla="val -55868"/>
            <a:gd name="adj2" fmla="val 18195"/>
            <a:gd name="adj3" fmla="val 16667"/>
          </a:avLst>
        </a:prstGeom>
        <a:solidFill>
          <a:schemeClr val="accent5"/>
        </a:solidFill>
        <a:ln>
          <a:noFill/>
        </a:ln>
        <a:effectLst>
          <a:outerShdw blurRad="50800" dist="38100" dir="2700000" algn="tl" rotWithShape="0">
            <a:prstClr val="black">
              <a:alpha val="19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lang="es-PE" sz="900" b="0">
              <a:latin typeface="Century Gothic" panose="020B0502020202020204" pitchFamily="34" charset="0"/>
            </a:rPr>
            <a:t>(₃) </a:t>
          </a:r>
          <a:r>
            <a:rPr lang="es-PE" sz="900" b="1">
              <a:latin typeface="Century Gothic" panose="020B0502020202020204" pitchFamily="34" charset="0"/>
            </a:rPr>
            <a:t>Se</a:t>
          </a:r>
          <a:r>
            <a:rPr lang="es-PE" sz="900" b="1" baseline="0">
              <a:latin typeface="Century Gothic" panose="020B0502020202020204" pitchFamily="34" charset="0"/>
            </a:rPr>
            <a:t> aplica por una sola vez según lo calculado sobre el valor de vivienda.</a:t>
          </a:r>
          <a:endParaRPr lang="es-PE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24</xdr:col>
      <xdr:colOff>169333</xdr:colOff>
      <xdr:row>15</xdr:row>
      <xdr:rowOff>63501</xdr:rowOff>
    </xdr:from>
    <xdr:to>
      <xdr:col>26</xdr:col>
      <xdr:colOff>592667</xdr:colOff>
      <xdr:row>29</xdr:row>
      <xdr:rowOff>176893</xdr:rowOff>
    </xdr:to>
    <xdr:pic>
      <xdr:nvPicPr>
        <xdr:cNvPr id="31" name="Imagen 30" descr="Resultado de imagen para MIVIVIENDA VERDE">
          <a:extLst>
            <a:ext uri="{FF2B5EF4-FFF2-40B4-BE49-F238E27FC236}">
              <a16:creationId xmlns:a16="http://schemas.microsoft.com/office/drawing/2014/main" id="{C68DE8B5-079A-4E71-9946-A70EAA424B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56" t="9736" r="21999" b="12378"/>
        <a:stretch/>
      </xdr:blipFill>
      <xdr:spPr bwMode="auto">
        <a:xfrm>
          <a:off x="10847916" y="3672418"/>
          <a:ext cx="1947334" cy="1111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44448</xdr:rowOff>
    </xdr:from>
    <xdr:to>
      <xdr:col>0</xdr:col>
      <xdr:colOff>2405592</xdr:colOff>
      <xdr:row>59</xdr:row>
      <xdr:rowOff>190099</xdr:rowOff>
    </xdr:to>
    <xdr:pic>
      <xdr:nvPicPr>
        <xdr:cNvPr id="32" name="Imagen 31" descr="Mi Departamento for Android - APK Download">
          <a:extLst>
            <a:ext uri="{FF2B5EF4-FFF2-40B4-BE49-F238E27FC236}">
              <a16:creationId xmlns:a16="http://schemas.microsoft.com/office/drawing/2014/main" id="{60B32EAB-FBD7-4897-B93C-15AFC8E9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9281"/>
          <a:ext cx="2405592" cy="3388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</xdr:row>
      <xdr:rowOff>171450</xdr:rowOff>
    </xdr:from>
    <xdr:to>
      <xdr:col>7</xdr:col>
      <xdr:colOff>390525</xdr:colOff>
      <xdr:row>6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838450" y="485775"/>
          <a:ext cx="425767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2200" b="1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  <a:ea typeface="MS Gothic" panose="020B0609070205080204" pitchFamily="49" charset="-128"/>
            </a:rPr>
            <a:t>CRONOGRAMA</a:t>
          </a:r>
          <a:r>
            <a:rPr lang="es-PE" sz="2200" b="1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  <a:ea typeface="MS Gothic" panose="020B0609070205080204" pitchFamily="49" charset="-128"/>
            </a:rPr>
            <a:t> DE PAGOS</a:t>
          </a:r>
          <a:endParaRPr lang="es-PE" sz="2200" b="1">
            <a:ln>
              <a:noFill/>
            </a:ln>
            <a:solidFill>
              <a:schemeClr val="tx1">
                <a:lumMod val="65000"/>
                <a:lumOff val="35000"/>
              </a:schemeClr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latin typeface="Century Gothic" panose="020B0502020202020204" pitchFamily="34" charset="0"/>
            <a:ea typeface="MS Gothic" panose="020B0609070205080204" pitchFamily="49" charset="-128"/>
          </a:endParaRPr>
        </a:p>
      </xdr:txBody>
    </xdr:sp>
    <xdr:clientData/>
  </xdr:twoCellAnchor>
  <xdr:twoCellAnchor>
    <xdr:from>
      <xdr:col>7</xdr:col>
      <xdr:colOff>619125</xdr:colOff>
      <xdr:row>0</xdr:row>
      <xdr:rowOff>133351</xdr:rowOff>
    </xdr:from>
    <xdr:to>
      <xdr:col>9</xdr:col>
      <xdr:colOff>0</xdr:colOff>
      <xdr:row>2</xdr:row>
      <xdr:rowOff>38101</xdr:rowOff>
    </xdr:to>
    <xdr:sp macro="[0]!Volver" textlink="">
      <xdr:nvSpPr>
        <xdr:cNvPr id="5" name="Rectángulo redondead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324725" y="133351"/>
          <a:ext cx="1438275" cy="285750"/>
        </a:xfrm>
        <a:prstGeom prst="roundRect">
          <a:avLst/>
        </a:prstGeom>
        <a:solidFill>
          <a:schemeClr val="accent1">
            <a:lumMod val="75000"/>
          </a:schemeClr>
        </a:solidFill>
        <a:ln>
          <a:solidFill>
            <a:srgbClr val="F3F3F3"/>
          </a:solidFill>
        </a:ln>
        <a:effectLst>
          <a:outerShdw blurRad="50800" dist="101600" dir="5400000" algn="ctr" rotWithShape="0">
            <a:srgbClr val="000000">
              <a:alpha val="0"/>
            </a:srgbClr>
          </a:outerShdw>
        </a:effectLst>
        <a:scene3d>
          <a:camera prst="orthographicFront"/>
          <a:lightRig rig="threePt" dir="t"/>
        </a:scene3d>
        <a:sp3d>
          <a:bevelT w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400" b="1">
              <a:latin typeface="Century Gothic" panose="020B0502020202020204" pitchFamily="34" charset="0"/>
            </a:rPr>
            <a:t>Volver</a:t>
          </a:r>
          <a:endParaRPr lang="es-PE" sz="1800" b="1"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695325</xdr:colOff>
      <xdr:row>0</xdr:row>
      <xdr:rowOff>0</xdr:rowOff>
    </xdr:from>
    <xdr:to>
      <xdr:col>2</xdr:col>
      <xdr:colOff>685800</xdr:colOff>
      <xdr:row>3</xdr:row>
      <xdr:rowOff>81296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F6FD68B-C7DE-43B0-AD0C-2163FEF73E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852" b="98545" l="2876" r="99808">
                      <a14:foregroundMark x1="36242" y1="27381" x2="49185" y2="13757"/>
                      <a14:foregroundMark x1="50144" y1="13757" x2="64046" y2="27381"/>
                      <a14:foregroundMark x1="47172" y1="14418" x2="35762" y2="25397"/>
                      <a14:foregroundMark x1="33749" y1="31481" x2="51198" y2="17857"/>
                      <a14:foregroundMark x1="49664" y1="21958" x2="56568" y2="36243"/>
                      <a14:foregroundMark x1="42665" y1="45899" x2="59060" y2="46561"/>
                      <a14:foregroundMark x1="61553" y1="49339" x2="58102" y2="43783"/>
                      <a14:foregroundMark x1="62608" y1="50000" x2="62608" y2="50000"/>
                      <a14:foregroundMark x1="64046" y1="30820" x2="64046" y2="30820"/>
                      <a14:foregroundMark x1="33269" y1="28704" x2="33269" y2="28704"/>
                      <a14:foregroundMark x1="35762" y1="26720" x2="42665" y2="22619"/>
                      <a14:foregroundMark x1="10930" y1="65741" x2="10930" y2="65741"/>
                      <a14:foregroundMark x1="14382" y1="67857" x2="14382" y2="67857"/>
                      <a14:foregroundMark x1="15916" y1="64418" x2="15916" y2="64418"/>
                      <a14:foregroundMark x1="12368" y1="61640" x2="12368" y2="61640"/>
                      <a14:foregroundMark x1="18408" y1="64418" x2="20326" y2="69841"/>
                      <a14:foregroundMark x1="23298" y1="69841" x2="22819" y2="61640"/>
                      <a14:foregroundMark x1="10930" y1="68519" x2="11889" y2="59524"/>
                      <a14:foregroundMark x1="14382" y1="70503" x2="15916" y2="60979"/>
                      <a14:foregroundMark x1="12368" y1="66402" x2="14861" y2="70503"/>
                      <a14:foregroundMark x1="26366" y1="67857" x2="29818" y2="67857"/>
                      <a14:foregroundMark x1="29338" y1="66402" x2="29338" y2="63757"/>
                      <a14:foregroundMark x1="34803" y1="68519" x2="31735" y2="65079"/>
                      <a14:foregroundMark x1="34803" y1="69180" x2="36721" y2="62963"/>
                      <a14:foregroundMark x1="40268" y1="63757" x2="39693" y2="67857"/>
                      <a14:foregroundMark x1="42665" y1="70503" x2="43720" y2="65741"/>
                      <a14:foregroundMark x1="49185" y1="68519" x2="50623" y2="60317"/>
                      <a14:foregroundMark x1="51678" y1="70503" x2="55129" y2="69180"/>
                      <a14:foregroundMark x1="56088" y1="67063" x2="57622" y2="60979"/>
                      <a14:foregroundMark x1="57622" y1="67857" x2="57143" y2="71296"/>
                      <a14:foregroundMark x1="62033" y1="69180" x2="61553" y2="63757"/>
                      <a14:foregroundMark x1="65101" y1="58862" x2="65101" y2="58862"/>
                      <a14:foregroundMark x1="68073" y1="65741" x2="68073" y2="65741"/>
                      <a14:foregroundMark x1="72483" y1="67063" x2="71045" y2="60979"/>
                      <a14:foregroundMark x1="70566" y1="69841" x2="72004" y2="68519"/>
                      <a14:foregroundMark x1="75935" y1="69841" x2="75935" y2="62302"/>
                      <a14:foregroundMark x1="75935" y1="60317" x2="75935" y2="58201"/>
                      <a14:foregroundMark x1="79003" y1="67063" x2="79962" y2="61640"/>
                      <a14:foregroundMark x1="84468" y1="68519" x2="84468" y2="64418"/>
                      <a14:foregroundMark x1="87919" y1="68519" x2="87919" y2="65741"/>
                      <a14:foregroundMark x1="34228" y1="48677" x2="38255" y2="47222"/>
                      <a14:foregroundMark x1="60594" y1="54101" x2="54650" y2="50000"/>
                      <a14:foregroundMark x1="36721" y1="83598" x2="36721" y2="79497"/>
                      <a14:foregroundMark x1="39693" y1="83598" x2="37776" y2="76720"/>
                      <a14:foregroundMark x1="42186" y1="80820" x2="43241" y2="77381"/>
                      <a14:foregroundMark x1="79962" y1="70503" x2="78428" y2="67857"/>
                      <a14:foregroundMark x1="82934" y1="84259" x2="82934" y2="82143"/>
                      <a14:foregroundMark x1="87919" y1="82937" x2="87919" y2="80820"/>
                      <a14:foregroundMark x1="68073" y1="81481" x2="66539" y2="78704"/>
                      <a14:foregroundMark x1="72963" y1="83598" x2="72004" y2="79497"/>
                      <a14:foregroundMark x1="60115" y1="84921" x2="61074" y2="80820"/>
                      <a14:foregroundMark x1="64046" y1="83598" x2="63087" y2="78042"/>
                      <a14:foregroundMark x1="63567" y1="77381" x2="63567" y2="77381"/>
                      <a14:foregroundMark x1="55129" y1="76058" x2="55129" y2="76058"/>
                      <a14:foregroundMark x1="55609" y1="82937" x2="55609" y2="80159"/>
                      <a14:foregroundMark x1="51198" y1="85582" x2="52157" y2="83598"/>
                      <a14:foregroundMark x1="46692" y1="83598" x2="46692" y2="80820"/>
                      <a14:foregroundMark x1="46692" y1="75397" x2="46692" y2="75397"/>
                      <a14:foregroundMark x1="72004" y1="62302" x2="72004" y2="70503"/>
                      <a14:foregroundMark x1="26846" y1="71296" x2="29338" y2="70503"/>
                      <a14:foregroundMark x1="71524" y1="64418" x2="67498" y2="64418"/>
                      <a14:foregroundMark x1="62033" y1="67063" x2="64525" y2="6296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7134" b="9637"/>
        <a:stretch/>
      </xdr:blipFill>
      <xdr:spPr>
        <a:xfrm>
          <a:off x="695325" y="0"/>
          <a:ext cx="1285875" cy="7766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8:I309" totalsRowShown="0" headerRowDxfId="9" dataDxfId="8">
  <autoFilter ref="B8:I30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Periodo" dataDxfId="7"/>
    <tableColumn id="2" xr3:uid="{00000000-0010-0000-0000-000002000000}" name="Saldo Inicial" dataDxfId="6" dataCellStyle="Moneda">
      <calculatedColumnFormula>Simulador!#REF!</calculatedColumnFormula>
    </tableColumn>
    <tableColumn id="3" xr3:uid="{00000000-0010-0000-0000-000003000000}" name="Amortización" dataDxfId="5">
      <calculatedColumnFormula>IF(Tabla1[[#This Row],[Periodo]]&lt;=Simulador!$F$47,PPMT(Simulador!$F$41+Simulador!$F$43,Cronograma!B9,Simulador!$F$47,-Simulador!#REF!),"")</calculatedColumnFormula>
    </tableColumn>
    <tableColumn id="4" xr3:uid="{00000000-0010-0000-0000-000004000000}" name="Intereses" dataDxfId="4">
      <calculatedColumnFormula>IF(Tabla1[[#This Row],[Periodo]]&lt;=Simulador!$F$47,Simulador!#REF!,"")</calculatedColumnFormula>
    </tableColumn>
    <tableColumn id="5" xr3:uid="{00000000-0010-0000-0000-000005000000}" name="Seguro Desgravamen" dataDxfId="3">
      <calculatedColumnFormula>IF(Tabla1[[#This Row],[Periodo]]&lt;=Simulador!$F$47,#REF!*Simulador!$F$43,"")</calculatedColumnFormula>
    </tableColumn>
    <tableColumn id="6" xr3:uid="{00000000-0010-0000-0000-000006000000}" name="Seguro de Inmueble" dataDxfId="2" dataCellStyle="Moneda">
      <calculatedColumnFormula>IF(Tabla1[[#This Row],[Periodo]]&lt;=Simulador!$F$47,Simulador!$F$45*Simulador!$F$12/12,"")</calculatedColumnFormula>
    </tableColumn>
    <tableColumn id="7" xr3:uid="{00000000-0010-0000-0000-000007000000}" name="Saldo Final" dataDxfId="1">
      <calculatedColumnFormula>IF(Tabla1[[#This Row],[Periodo]]&lt;=Simulador!$F$47,C9-D9,"")</calculatedColumnFormula>
    </tableColumn>
    <tableColumn id="8" xr3:uid="{00000000-0010-0000-0000-000008000000}" name="Cuota Mensual" dataDxfId="0">
      <calculatedColumnFormula>IF(Tabla1[[#This Row],[Periodo]]&lt;=Simulador!$F$47,PMT(Simulador!$F$41+Simulador!$F$43,Simulador!$F$47,-Simulador!#REF!)+H9,"")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>
            <a:lumMod val="85000"/>
            <a:alpha val="24000"/>
          </a:schemeClr>
        </a:solidFill>
        <a:ln>
          <a:solidFill>
            <a:srgbClr val="F3F3F3"/>
          </a:solidFill>
        </a:ln>
        <a:effectLst>
          <a:outerShdw blurRad="50800" dist="101600" dir="5400000" algn="ctr" rotWithShape="0">
            <a:srgbClr val="000000">
              <a:alpha val="0"/>
            </a:srgbClr>
          </a:outerShdw>
        </a:effectLst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ivivienda.com.pe/PORTALWEB/promotores-constructores/pagina.aspx?idpage=68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G83"/>
  <sheetViews>
    <sheetView showGridLines="0" tabSelected="1" zoomScale="70" zoomScaleNormal="70" workbookViewId="0">
      <selection activeCell="F12" sqref="F12:G12"/>
    </sheetView>
  </sheetViews>
  <sheetFormatPr baseColWidth="10" defaultColWidth="11.42578125" defaultRowHeight="15" x14ac:dyDescent="0.25"/>
  <cols>
    <col min="1" max="1" width="36.140625" style="65" customWidth="1"/>
    <col min="2" max="3" width="11.42578125" style="65"/>
    <col min="4" max="4" width="12" style="65" bestFit="1" customWidth="1"/>
    <col min="5" max="5" width="11.42578125" style="65"/>
    <col min="6" max="6" width="11.42578125" style="128"/>
    <col min="7" max="7" width="15.42578125" style="128" customWidth="1"/>
    <col min="8" max="8" width="19" style="65" bestFit="1" customWidth="1"/>
    <col min="9" max="9" width="8.5703125" style="65" customWidth="1"/>
    <col min="10" max="10" width="23.140625" style="65" customWidth="1"/>
    <col min="11" max="11" width="19.85546875" style="65" hidden="1" customWidth="1"/>
    <col min="12" max="12" width="15.7109375" style="65" hidden="1" customWidth="1"/>
    <col min="13" max="13" width="16" style="65" hidden="1" customWidth="1"/>
    <col min="14" max="24" width="11.42578125" style="65" hidden="1" customWidth="1"/>
    <col min="25" max="27" width="11.42578125" style="65" customWidth="1"/>
    <col min="28" max="30" width="11.42578125" style="57" hidden="1" customWidth="1"/>
    <col min="31" max="36" width="11.42578125" style="57" customWidth="1"/>
    <col min="37" max="85" width="11.42578125" style="57"/>
    <col min="86" max="16384" width="11.42578125" style="65"/>
  </cols>
  <sheetData>
    <row r="1" spans="1:36" s="57" customFormat="1" ht="40.5" customHeight="1" x14ac:dyDescent="0.25">
      <c r="F1" s="58"/>
      <c r="G1" s="58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36" ht="39.950000000000003" customHeight="1" x14ac:dyDescent="0.25">
      <c r="A2" s="60"/>
      <c r="B2" s="3"/>
      <c r="C2" s="3"/>
      <c r="D2" s="3"/>
      <c r="E2" s="3"/>
      <c r="F2" s="61"/>
      <c r="G2" s="61"/>
      <c r="H2" s="3"/>
      <c r="I2" s="3"/>
      <c r="J2" s="3"/>
      <c r="K2" s="62"/>
      <c r="L2" s="62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4"/>
      <c r="Z2" s="64"/>
      <c r="AA2" s="64"/>
      <c r="AB2" s="59"/>
      <c r="AC2" s="59"/>
      <c r="AD2" s="59"/>
      <c r="AE2" s="59"/>
      <c r="AF2" s="59"/>
      <c r="AG2" s="59"/>
      <c r="AH2" s="59"/>
      <c r="AI2" s="59"/>
      <c r="AJ2" s="59"/>
    </row>
    <row r="3" spans="1:36" x14ac:dyDescent="0.25">
      <c r="A3" s="60"/>
      <c r="B3" s="3"/>
      <c r="C3" s="3"/>
      <c r="D3" s="3"/>
      <c r="E3" s="3"/>
      <c r="F3" s="61"/>
      <c r="G3" s="61"/>
      <c r="H3" s="3"/>
      <c r="I3" s="3"/>
      <c r="J3" s="3"/>
      <c r="K3" s="66"/>
      <c r="L3" s="66"/>
      <c r="M3" s="67"/>
      <c r="N3" s="67"/>
      <c r="O3" s="67"/>
      <c r="P3" s="67"/>
      <c r="Q3" s="67"/>
      <c r="R3" s="67"/>
      <c r="S3" s="63"/>
      <c r="T3" s="63"/>
      <c r="U3" s="63"/>
      <c r="V3" s="63"/>
      <c r="W3" s="63"/>
      <c r="X3" s="63"/>
      <c r="Y3" s="63"/>
      <c r="Z3" s="63"/>
      <c r="AA3" s="63"/>
      <c r="AB3" s="59"/>
      <c r="AC3" s="59"/>
      <c r="AD3" s="59"/>
      <c r="AE3" s="59"/>
      <c r="AF3" s="59"/>
      <c r="AG3" s="59"/>
      <c r="AH3" s="59"/>
      <c r="AI3" s="59"/>
      <c r="AJ3" s="59"/>
    </row>
    <row r="4" spans="1:36" x14ac:dyDescent="0.25">
      <c r="A4" s="60"/>
      <c r="B4" s="3"/>
      <c r="C4" s="3"/>
      <c r="D4" s="3"/>
      <c r="E4" s="3"/>
      <c r="F4" s="61"/>
      <c r="G4" s="61"/>
      <c r="H4" s="3"/>
      <c r="I4" s="3"/>
      <c r="J4" s="3"/>
      <c r="K4" s="68"/>
      <c r="L4" s="68"/>
      <c r="M4" s="69"/>
      <c r="N4" s="69"/>
      <c r="O4" s="69"/>
      <c r="P4" s="69"/>
      <c r="Q4" s="67"/>
      <c r="R4" s="67"/>
      <c r="S4" s="63"/>
      <c r="T4" s="63"/>
      <c r="U4" s="63"/>
      <c r="V4" s="63"/>
      <c r="W4" s="63"/>
      <c r="X4" s="63"/>
      <c r="Y4" s="63"/>
      <c r="Z4" s="63"/>
      <c r="AA4" s="63"/>
      <c r="AB4" s="59"/>
      <c r="AC4" s="59"/>
      <c r="AD4" s="59"/>
      <c r="AE4" s="59"/>
      <c r="AF4" s="59"/>
      <c r="AG4" s="59"/>
      <c r="AH4" s="59"/>
      <c r="AI4" s="59"/>
      <c r="AJ4" s="59"/>
    </row>
    <row r="5" spans="1:36" x14ac:dyDescent="0.25">
      <c r="A5" s="60"/>
      <c r="B5" s="3"/>
      <c r="C5" s="3"/>
      <c r="D5" s="3"/>
      <c r="E5" s="3"/>
      <c r="F5" s="61"/>
      <c r="G5" s="61"/>
      <c r="H5" s="3"/>
      <c r="I5" s="3"/>
      <c r="J5" s="3"/>
      <c r="K5" s="68"/>
      <c r="L5" s="68"/>
      <c r="M5" s="69"/>
      <c r="N5" s="69"/>
      <c r="O5" s="69"/>
      <c r="P5" s="69"/>
      <c r="Q5" s="67"/>
      <c r="R5" s="67"/>
      <c r="S5" s="63"/>
      <c r="T5" s="63"/>
      <c r="U5" s="63"/>
      <c r="V5" s="63"/>
      <c r="W5" s="63"/>
      <c r="X5" s="63"/>
      <c r="Y5" s="63"/>
      <c r="Z5" s="63"/>
      <c r="AA5" s="63"/>
      <c r="AB5" s="59"/>
      <c r="AC5" s="59"/>
      <c r="AD5" s="59"/>
      <c r="AE5" s="59"/>
      <c r="AF5" s="59"/>
      <c r="AG5" s="59"/>
      <c r="AH5" s="59"/>
      <c r="AI5" s="59"/>
      <c r="AJ5" s="59"/>
    </row>
    <row r="6" spans="1:36" x14ac:dyDescent="0.25">
      <c r="A6" s="60"/>
      <c r="B6" s="3"/>
      <c r="C6" s="3"/>
      <c r="D6" s="3"/>
      <c r="E6" s="3"/>
      <c r="F6" s="61"/>
      <c r="G6" s="61"/>
      <c r="H6" s="3"/>
      <c r="I6" s="3"/>
      <c r="J6" s="3"/>
      <c r="K6" s="68"/>
      <c r="L6" s="68"/>
      <c r="M6" s="68"/>
      <c r="N6" s="68"/>
      <c r="O6" s="68"/>
      <c r="P6" s="69"/>
      <c r="Q6" s="67"/>
      <c r="R6" s="67"/>
      <c r="S6" s="63"/>
      <c r="T6" s="63"/>
      <c r="U6" s="63"/>
      <c r="V6" s="63"/>
      <c r="W6" s="63"/>
      <c r="X6" s="63"/>
      <c r="Y6" s="63"/>
      <c r="Z6" s="63"/>
      <c r="AA6" s="63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30" customHeight="1" x14ac:dyDescent="0.25">
      <c r="A7" s="60"/>
      <c r="B7" s="3"/>
      <c r="C7" s="3"/>
      <c r="D7" s="3"/>
      <c r="E7" s="3"/>
      <c r="F7" s="61"/>
      <c r="G7" s="61"/>
      <c r="H7" s="3"/>
      <c r="I7" s="3"/>
      <c r="J7" s="3"/>
      <c r="K7" s="68"/>
      <c r="L7" s="68"/>
      <c r="M7" s="68"/>
      <c r="N7" s="68"/>
      <c r="O7" s="68"/>
      <c r="P7" s="69"/>
      <c r="Q7" s="67"/>
      <c r="R7" s="67"/>
      <c r="S7" s="63"/>
      <c r="T7" s="63"/>
      <c r="U7" s="63"/>
      <c r="V7" s="63"/>
      <c r="W7" s="63"/>
      <c r="X7" s="63"/>
      <c r="Y7" s="63"/>
      <c r="Z7" s="63"/>
      <c r="AA7" s="63"/>
      <c r="AB7" s="59"/>
      <c r="AC7" s="59"/>
      <c r="AD7" s="59"/>
      <c r="AE7" s="59"/>
      <c r="AF7" s="59"/>
      <c r="AG7" s="59"/>
      <c r="AH7" s="59"/>
      <c r="AI7" s="59"/>
      <c r="AJ7" s="59"/>
    </row>
    <row r="8" spans="1:36" x14ac:dyDescent="0.25">
      <c r="A8" s="60"/>
      <c r="B8" s="3"/>
      <c r="C8" s="3"/>
      <c r="D8" s="3"/>
      <c r="E8" s="3"/>
      <c r="F8" s="61"/>
      <c r="G8" s="61"/>
      <c r="H8" s="3"/>
      <c r="I8" s="3"/>
      <c r="J8" s="3"/>
      <c r="K8" s="68"/>
      <c r="L8" s="68"/>
      <c r="M8" s="68"/>
      <c r="N8" s="68"/>
      <c r="O8" s="68"/>
      <c r="P8" s="69"/>
      <c r="Q8" s="67"/>
      <c r="R8" s="67"/>
      <c r="S8" s="63"/>
      <c r="T8" s="63"/>
      <c r="U8" s="63"/>
      <c r="V8" s="63"/>
      <c r="W8" s="63"/>
      <c r="X8" s="63"/>
      <c r="Y8" s="63"/>
      <c r="Z8" s="63"/>
      <c r="AA8" s="63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13.5" customHeight="1" x14ac:dyDescent="0.25">
      <c r="A9" s="60"/>
      <c r="B9" s="3"/>
      <c r="C9" s="3"/>
      <c r="D9" s="3"/>
      <c r="E9" s="3"/>
      <c r="F9" s="61"/>
      <c r="G9" s="61"/>
      <c r="H9" s="3"/>
      <c r="I9" s="3"/>
      <c r="J9" s="3"/>
      <c r="K9" s="68"/>
      <c r="L9" s="70">
        <v>65200</v>
      </c>
      <c r="M9" s="70">
        <v>232200</v>
      </c>
      <c r="N9" s="68"/>
      <c r="O9" s="68"/>
      <c r="P9" s="69"/>
      <c r="Q9" s="67"/>
      <c r="R9" s="67"/>
      <c r="S9" s="63"/>
      <c r="T9" s="63"/>
      <c r="U9" s="63"/>
      <c r="V9" s="63"/>
      <c r="W9" s="63"/>
      <c r="X9" s="63"/>
      <c r="Y9" s="63"/>
      <c r="Z9" s="63"/>
      <c r="AA9" s="63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15" customHeight="1" x14ac:dyDescent="0.25">
      <c r="A10" s="60"/>
      <c r="B10" s="31" t="s">
        <v>1</v>
      </c>
      <c r="C10" s="31"/>
      <c r="D10" s="31"/>
      <c r="E10" s="31"/>
      <c r="F10" s="40" t="s">
        <v>0</v>
      </c>
      <c r="G10" s="41"/>
      <c r="H10" s="2"/>
      <c r="I10" s="71"/>
      <c r="J10" s="72"/>
      <c r="K10" s="68" t="str">
        <f>IF(AND(($F$12&gt;=65200),($F$12&lt;=464200)),F12,"Fuera de Rango")</f>
        <v>Fuera de Rango</v>
      </c>
      <c r="L10" s="70">
        <v>232200</v>
      </c>
      <c r="M10" s="73">
        <v>343900</v>
      </c>
      <c r="N10" s="68"/>
      <c r="O10" s="68"/>
      <c r="P10" s="68"/>
      <c r="Q10" s="67"/>
      <c r="R10" s="67"/>
      <c r="S10" s="63"/>
      <c r="T10" s="63"/>
      <c r="U10" s="63"/>
      <c r="V10" s="63"/>
      <c r="W10" s="63"/>
      <c r="X10" s="63"/>
      <c r="Y10" s="63"/>
      <c r="Z10" s="63"/>
      <c r="AA10" s="63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9.9499999999999993" customHeight="1" x14ac:dyDescent="0.25">
      <c r="A11" s="60"/>
      <c r="B11" s="3"/>
      <c r="C11" s="3"/>
      <c r="D11" s="3"/>
      <c r="E11" s="3"/>
      <c r="F11" s="74"/>
      <c r="G11" s="74"/>
      <c r="H11" s="75"/>
      <c r="I11" s="15"/>
      <c r="J11" s="15"/>
      <c r="K11" s="76"/>
      <c r="L11" s="73">
        <v>343900</v>
      </c>
      <c r="M11" s="73">
        <v>464200</v>
      </c>
      <c r="N11" s="77"/>
      <c r="O11" s="77"/>
      <c r="P11" s="68"/>
      <c r="Q11" s="78"/>
      <c r="R11" s="67"/>
      <c r="S11" s="63"/>
      <c r="T11" s="63"/>
      <c r="U11" s="63"/>
      <c r="V11" s="63"/>
      <c r="W11" s="63"/>
      <c r="X11" s="63"/>
      <c r="Y11" s="63"/>
      <c r="Z11" s="63"/>
      <c r="AA11" s="63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15" customHeight="1" x14ac:dyDescent="0.25">
      <c r="A12" s="60"/>
      <c r="B12" s="31" t="s">
        <v>18</v>
      </c>
      <c r="C12" s="31"/>
      <c r="D12" s="31"/>
      <c r="E12" s="37"/>
      <c r="F12" s="29"/>
      <c r="G12" s="30"/>
      <c r="H12" s="79"/>
      <c r="I12" s="79"/>
      <c r="J12" s="79"/>
      <c r="K12" s="68"/>
      <c r="L12" s="69"/>
      <c r="M12" s="70">
        <v>3500</v>
      </c>
      <c r="N12" s="68"/>
      <c r="O12" s="68"/>
      <c r="P12" s="68">
        <f>45*3</f>
        <v>135</v>
      </c>
      <c r="Q12" s="67"/>
      <c r="R12" s="67"/>
      <c r="S12" s="63"/>
      <c r="T12" s="63"/>
      <c r="U12" s="63"/>
      <c r="V12" s="63"/>
      <c r="W12" s="63"/>
      <c r="X12" s="63"/>
      <c r="Y12" s="63"/>
      <c r="Z12" s="63"/>
      <c r="AA12" s="63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10.5" customHeight="1" x14ac:dyDescent="0.25">
      <c r="A13" s="60"/>
      <c r="B13" s="23"/>
      <c r="C13" s="23"/>
      <c r="D13" s="23"/>
      <c r="E13" s="24"/>
      <c r="F13" s="80"/>
      <c r="G13" s="80"/>
      <c r="H13" s="79"/>
      <c r="I13" s="79"/>
      <c r="J13" s="79"/>
      <c r="K13" s="68"/>
      <c r="L13" s="69"/>
      <c r="M13" s="70"/>
      <c r="N13" s="68"/>
      <c r="O13" s="68"/>
      <c r="P13" s="68"/>
      <c r="Q13" s="67"/>
      <c r="R13" s="67"/>
      <c r="S13" s="63"/>
      <c r="T13" s="63"/>
      <c r="U13" s="63"/>
      <c r="V13" s="63"/>
      <c r="W13" s="63"/>
      <c r="X13" s="63"/>
      <c r="Y13" s="63"/>
      <c r="Z13" s="63"/>
      <c r="AA13" s="63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15" customHeight="1" x14ac:dyDescent="0.25">
      <c r="A14" s="60"/>
      <c r="B14" s="31" t="s">
        <v>16</v>
      </c>
      <c r="C14" s="31"/>
      <c r="D14" s="31"/>
      <c r="E14" s="31"/>
      <c r="F14" s="32"/>
      <c r="G14" s="33"/>
      <c r="H14" s="79"/>
      <c r="I14" s="79"/>
      <c r="J14" s="79"/>
      <c r="K14" s="68"/>
      <c r="L14" s="69"/>
      <c r="M14" s="70"/>
      <c r="N14" s="68"/>
      <c r="O14" s="68"/>
      <c r="P14" s="68"/>
      <c r="Q14" s="67"/>
      <c r="R14" s="67"/>
      <c r="S14" s="63"/>
      <c r="T14" s="63"/>
      <c r="U14" s="63"/>
      <c r="V14" s="63"/>
      <c r="W14" s="63"/>
      <c r="X14" s="63"/>
      <c r="Y14" s="63"/>
      <c r="Z14" s="63"/>
      <c r="AA14" s="63"/>
      <c r="AB14" s="59"/>
      <c r="AC14" s="59"/>
      <c r="AD14" s="59"/>
      <c r="AE14" s="59"/>
      <c r="AF14" s="59"/>
      <c r="AG14" s="59"/>
      <c r="AH14" s="59"/>
      <c r="AI14" s="59"/>
      <c r="AJ14" s="59"/>
    </row>
    <row r="15" spans="1:36" ht="15" customHeight="1" x14ac:dyDescent="0.25">
      <c r="A15" s="60"/>
      <c r="B15" s="31" t="s">
        <v>17</v>
      </c>
      <c r="C15" s="31"/>
      <c r="D15" s="31"/>
      <c r="E15" s="31"/>
      <c r="F15" s="74"/>
      <c r="G15" s="74"/>
      <c r="H15" s="79"/>
      <c r="I15" s="79"/>
      <c r="J15" s="79"/>
      <c r="K15" s="68"/>
      <c r="L15" s="69"/>
      <c r="M15" s="70"/>
      <c r="N15" s="68"/>
      <c r="O15" s="68"/>
      <c r="P15" s="68"/>
      <c r="Q15" s="67"/>
      <c r="R15" s="67"/>
      <c r="S15" s="63"/>
      <c r="T15" s="63"/>
      <c r="U15" s="63"/>
      <c r="V15" s="63"/>
      <c r="W15" s="63"/>
      <c r="X15" s="63"/>
      <c r="Y15" s="63"/>
      <c r="Z15" s="63"/>
      <c r="AA15" s="63"/>
      <c r="AB15" s="59"/>
      <c r="AC15" s="59"/>
      <c r="AD15" s="59"/>
      <c r="AE15" s="59"/>
      <c r="AF15" s="59"/>
      <c r="AG15" s="59"/>
      <c r="AH15" s="59"/>
      <c r="AI15" s="59"/>
      <c r="AJ15" s="59"/>
    </row>
    <row r="16" spans="1:36" ht="9.9499999999999993" customHeight="1" x14ac:dyDescent="0.25">
      <c r="A16" s="60"/>
      <c r="B16" s="23"/>
      <c r="C16" s="23"/>
      <c r="D16" s="23"/>
      <c r="E16" s="24"/>
      <c r="F16" s="81"/>
      <c r="G16" s="81"/>
      <c r="H16" s="79"/>
      <c r="I16" s="79"/>
      <c r="J16" s="79"/>
      <c r="K16" s="82"/>
      <c r="L16" s="68"/>
      <c r="M16" s="68"/>
      <c r="N16" s="68"/>
      <c r="O16" s="68"/>
      <c r="P16" s="68"/>
      <c r="Q16" s="67"/>
      <c r="R16" s="67"/>
      <c r="S16" s="63"/>
      <c r="T16" s="63"/>
      <c r="U16" s="63"/>
      <c r="V16" s="63"/>
      <c r="W16" s="63"/>
      <c r="X16" s="63"/>
      <c r="Y16" s="63"/>
      <c r="Z16" s="63"/>
      <c r="AA16" s="4"/>
      <c r="AB16" s="59"/>
      <c r="AC16" s="59"/>
      <c r="AD16" s="59"/>
      <c r="AE16" s="59"/>
      <c r="AF16" s="59"/>
      <c r="AG16" s="59"/>
      <c r="AH16" s="59"/>
      <c r="AI16" s="59"/>
      <c r="AJ16" s="59"/>
    </row>
    <row r="17" spans="1:36" ht="16.5" x14ac:dyDescent="0.25">
      <c r="A17" s="60"/>
      <c r="B17" s="31" t="s">
        <v>19</v>
      </c>
      <c r="C17" s="31"/>
      <c r="D17" s="31"/>
      <c r="E17" s="31"/>
      <c r="F17" s="29"/>
      <c r="G17" s="30"/>
      <c r="H17" s="83"/>
      <c r="I17" s="83"/>
      <c r="J17" s="83"/>
      <c r="K17" s="68"/>
      <c r="L17" s="68"/>
      <c r="M17" s="84">
        <v>7.4999999999999997E-2</v>
      </c>
      <c r="N17" s="85">
        <v>0.1</v>
      </c>
      <c r="O17" s="68"/>
      <c r="P17" s="68"/>
      <c r="Q17" s="67"/>
      <c r="R17" s="67"/>
      <c r="S17" s="63"/>
      <c r="T17" s="63"/>
      <c r="U17" s="63"/>
      <c r="V17" s="63"/>
      <c r="W17" s="63"/>
      <c r="X17" s="63"/>
      <c r="Y17" s="63"/>
      <c r="Z17" s="63"/>
      <c r="AA17" s="63"/>
      <c r="AB17" s="59"/>
      <c r="AC17" s="59"/>
      <c r="AD17" s="59"/>
      <c r="AE17" s="59"/>
      <c r="AF17" s="59"/>
      <c r="AG17" s="59"/>
      <c r="AH17" s="59"/>
      <c r="AI17" s="59"/>
      <c r="AJ17" s="59"/>
    </row>
    <row r="18" spans="1:36" ht="12" hidden="1" customHeight="1" x14ac:dyDescent="0.25">
      <c r="A18" s="60"/>
      <c r="B18" s="23"/>
      <c r="C18" s="23"/>
      <c r="D18" s="23"/>
      <c r="E18" s="23"/>
      <c r="F18" s="22"/>
      <c r="G18" s="22"/>
      <c r="H18" s="83"/>
      <c r="I18" s="83"/>
      <c r="J18" s="83"/>
      <c r="K18" s="82"/>
      <c r="L18" s="68"/>
      <c r="M18" s="85">
        <v>0.3</v>
      </c>
      <c r="N18" s="85">
        <v>0.3</v>
      </c>
      <c r="O18" s="68"/>
      <c r="P18" s="68"/>
      <c r="Q18" s="67"/>
      <c r="R18" s="67"/>
      <c r="S18" s="63"/>
      <c r="T18" s="63"/>
      <c r="U18" s="63"/>
      <c r="V18" s="63"/>
      <c r="W18" s="63"/>
      <c r="X18" s="63"/>
      <c r="Y18" s="63"/>
      <c r="Z18" s="63"/>
      <c r="AA18" s="63"/>
      <c r="AB18" s="59"/>
      <c r="AC18" s="59"/>
      <c r="AD18" s="59"/>
      <c r="AE18" s="59"/>
      <c r="AF18" s="59"/>
      <c r="AG18" s="59"/>
      <c r="AH18" s="59"/>
      <c r="AI18" s="59"/>
      <c r="AJ18" s="59"/>
    </row>
    <row r="19" spans="1:36" ht="16.5" hidden="1" x14ac:dyDescent="0.25">
      <c r="A19" s="60"/>
      <c r="B19" s="26" t="s">
        <v>32</v>
      </c>
      <c r="C19" s="26"/>
      <c r="D19" s="26"/>
      <c r="E19" s="26"/>
      <c r="F19" s="86" t="e">
        <f>IF(AND(($F$12&gt;=L9),($F$12&lt;=M9),($F$17&gt;=(M17*$F$12)),L37="ok",L29="ok"),"ok","ERROR")</f>
        <v>#DIV/0!</v>
      </c>
      <c r="G19" s="87"/>
      <c r="H19" s="83"/>
      <c r="I19" s="83"/>
      <c r="J19" s="83"/>
      <c r="K19" s="82"/>
      <c r="L19" s="68">
        <f>+M18*F12</f>
        <v>0</v>
      </c>
      <c r="M19" s="68"/>
      <c r="N19" s="68">
        <f>+L19-3200</f>
        <v>-3200</v>
      </c>
      <c r="O19" s="68"/>
      <c r="P19" s="68">
        <f>+(F12*0.3)-3200</f>
        <v>-3200</v>
      </c>
      <c r="Q19" s="67"/>
      <c r="R19" s="67"/>
      <c r="S19" s="63"/>
      <c r="T19" s="63"/>
      <c r="U19" s="63"/>
      <c r="V19" s="63"/>
      <c r="W19" s="63"/>
      <c r="X19" s="63"/>
      <c r="Y19" s="63"/>
      <c r="Z19" s="63"/>
      <c r="AA19" s="63"/>
      <c r="AB19" s="59"/>
      <c r="AC19" s="59"/>
      <c r="AD19" s="59"/>
      <c r="AE19" s="59"/>
      <c r="AF19" s="59"/>
      <c r="AG19" s="59"/>
      <c r="AH19" s="59"/>
      <c r="AI19" s="59"/>
      <c r="AJ19" s="59"/>
    </row>
    <row r="20" spans="1:36" ht="16.5" hidden="1" x14ac:dyDescent="0.25">
      <c r="A20" s="60"/>
      <c r="B20" s="26" t="s">
        <v>27</v>
      </c>
      <c r="C20" s="26"/>
      <c r="D20" s="26"/>
      <c r="E20" s="26"/>
      <c r="F20" s="88" t="e">
        <f>IF(AND((F12&gt;M9),(F12&lt;=M10),(F17&gt;=(M17*F12)),IF(F14="No",F17&lt;=((M18*F12)-M12),F17&lt;=M12*F12),L29="ok"),"ok","ERROR")</f>
        <v>#DIV/0!</v>
      </c>
      <c r="G20" s="89"/>
      <c r="H20" s="83"/>
      <c r="I20" s="83"/>
      <c r="J20" s="83"/>
      <c r="K20" s="90"/>
      <c r="L20" s="68"/>
      <c r="M20" s="68"/>
      <c r="N20" s="68"/>
      <c r="O20" s="68"/>
      <c r="P20" s="68"/>
      <c r="Q20" s="67"/>
      <c r="R20" s="67"/>
      <c r="S20" s="63"/>
      <c r="T20" s="63"/>
      <c r="U20" s="63"/>
      <c r="V20" s="63"/>
      <c r="W20" s="63"/>
      <c r="X20" s="63"/>
      <c r="Y20" s="63"/>
      <c r="Z20" s="63"/>
      <c r="AA20" s="63"/>
      <c r="AB20" s="59"/>
      <c r="AC20" s="59"/>
      <c r="AD20" s="59"/>
      <c r="AE20" s="59"/>
      <c r="AF20" s="59"/>
      <c r="AG20" s="59"/>
      <c r="AH20" s="59"/>
      <c r="AI20" s="59"/>
      <c r="AJ20" s="59"/>
    </row>
    <row r="21" spans="1:36" ht="16.5" hidden="1" x14ac:dyDescent="0.25">
      <c r="A21" s="60"/>
      <c r="B21" s="26" t="s">
        <v>28</v>
      </c>
      <c r="C21" s="26"/>
      <c r="D21" s="26"/>
      <c r="E21" s="26"/>
      <c r="F21" s="86" t="str">
        <f>IF(AND((F12&gt;L11),(F12&lt;=M11),(F17&gt;=(N17*F12)),(F17&lt;=((N18*F12)))),"ok","ERROR")</f>
        <v>ERROR</v>
      </c>
      <c r="G21" s="87"/>
      <c r="H21" s="83"/>
      <c r="I21" s="83"/>
      <c r="J21" s="83"/>
      <c r="K21" s="90"/>
      <c r="L21" s="68"/>
      <c r="M21" s="68"/>
      <c r="N21" s="68"/>
      <c r="O21" s="68"/>
      <c r="P21" s="68"/>
      <c r="Q21" s="67"/>
      <c r="R21" s="67"/>
      <c r="S21" s="63"/>
      <c r="T21" s="63"/>
      <c r="U21" s="63"/>
      <c r="V21" s="63"/>
      <c r="W21" s="63"/>
      <c r="X21" s="63"/>
      <c r="Y21" s="63"/>
      <c r="Z21" s="63"/>
      <c r="AA21" s="63"/>
      <c r="AB21" s="59"/>
      <c r="AC21" s="59"/>
      <c r="AD21" s="59"/>
      <c r="AE21" s="59"/>
      <c r="AF21" s="59"/>
      <c r="AG21" s="59"/>
      <c r="AH21" s="59"/>
      <c r="AI21" s="59"/>
      <c r="AJ21" s="59"/>
    </row>
    <row r="22" spans="1:36" ht="9.9499999999999993" hidden="1" customHeight="1" x14ac:dyDescent="0.25">
      <c r="A22" s="60"/>
      <c r="B22" s="23"/>
      <c r="C22" s="23"/>
      <c r="D22" s="23"/>
      <c r="E22" s="24"/>
      <c r="F22" s="81"/>
      <c r="G22" s="81"/>
      <c r="H22" s="83"/>
      <c r="I22" s="83"/>
      <c r="J22" s="83"/>
      <c r="K22" s="82"/>
      <c r="L22" s="68"/>
      <c r="M22" s="68"/>
      <c r="N22" s="68"/>
      <c r="O22" s="68"/>
      <c r="P22" s="68"/>
      <c r="Q22" s="67"/>
      <c r="R22" s="67"/>
      <c r="S22" s="63"/>
      <c r="T22" s="63"/>
      <c r="U22" s="63"/>
      <c r="V22" s="63"/>
      <c r="W22" s="63"/>
      <c r="X22" s="63"/>
      <c r="Y22" s="63"/>
      <c r="Z22" s="63"/>
      <c r="AA22" s="63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36" ht="16.5" x14ac:dyDescent="0.25">
      <c r="A23" s="60"/>
      <c r="B23" s="26" t="s">
        <v>13</v>
      </c>
      <c r="C23" s="26"/>
      <c r="D23" s="26"/>
      <c r="E23" s="26"/>
      <c r="F23" s="48" t="str">
        <f>IF(F12="","",IF(F17="","",IF(F19="ok",F17/F12,IF(F20="ok",F17/F12,IF(F21="ok",F17/F12,"Cuota fuera del rango")))))</f>
        <v/>
      </c>
      <c r="G23" s="49"/>
      <c r="H23" s="91"/>
      <c r="I23" s="92"/>
      <c r="J23" s="93"/>
      <c r="K23" s="94"/>
      <c r="L23" s="95"/>
      <c r="M23" s="70">
        <v>93100</v>
      </c>
      <c r="N23" s="70">
        <v>25700</v>
      </c>
      <c r="O23" s="68"/>
      <c r="P23" s="68"/>
      <c r="Q23" s="67"/>
      <c r="R23" s="67"/>
      <c r="S23" s="63"/>
      <c r="T23" s="63"/>
      <c r="U23" s="63"/>
      <c r="V23" s="63"/>
      <c r="W23" s="63"/>
      <c r="X23" s="63"/>
      <c r="Y23" s="63"/>
      <c r="Z23" s="63"/>
      <c r="AA23" s="63"/>
      <c r="AB23" s="59"/>
      <c r="AC23" s="59"/>
      <c r="AD23" s="59"/>
      <c r="AE23" s="59"/>
      <c r="AF23" s="59"/>
      <c r="AG23" s="59"/>
      <c r="AH23" s="59"/>
      <c r="AI23" s="59"/>
      <c r="AJ23" s="59"/>
    </row>
    <row r="24" spans="1:36" ht="9.9499999999999993" hidden="1" customHeight="1" x14ac:dyDescent="0.25">
      <c r="A24" s="60"/>
      <c r="B24" s="3"/>
      <c r="C24" s="3"/>
      <c r="D24" s="3"/>
      <c r="E24" s="3"/>
      <c r="F24" s="74"/>
      <c r="G24" s="74"/>
      <c r="H24" s="75"/>
      <c r="I24" s="15"/>
      <c r="J24" s="15"/>
      <c r="K24" s="96"/>
      <c r="L24" s="95"/>
      <c r="M24" s="70">
        <v>139400</v>
      </c>
      <c r="N24" s="70">
        <v>21400</v>
      </c>
      <c r="O24" s="68"/>
      <c r="P24" s="68"/>
      <c r="Q24" s="67"/>
      <c r="R24" s="67"/>
      <c r="S24" s="63"/>
      <c r="T24" s="63"/>
      <c r="U24" s="63"/>
      <c r="V24" s="63"/>
      <c r="W24" s="63"/>
      <c r="X24" s="63"/>
      <c r="Y24" s="63"/>
      <c r="Z24" s="63"/>
      <c r="AA24" s="63"/>
      <c r="AB24" s="59"/>
      <c r="AC24" s="59"/>
      <c r="AD24" s="59"/>
      <c r="AE24" s="59"/>
      <c r="AF24" s="59"/>
      <c r="AG24" s="59"/>
      <c r="AH24" s="59"/>
      <c r="AI24" s="59"/>
      <c r="AJ24" s="59"/>
    </row>
    <row r="25" spans="1:36" ht="15" hidden="1" customHeight="1" x14ac:dyDescent="0.25">
      <c r="A25" s="60"/>
      <c r="F25" s="65"/>
      <c r="G25" s="65"/>
      <c r="H25" s="75"/>
      <c r="I25" s="15"/>
      <c r="J25" s="15"/>
      <c r="K25" s="97"/>
      <c r="L25" s="95" t="e">
        <f>IF((F23="Cuota fuera del rango"),"Cuota fuera de rango",IF((F12&lt;=(F17+F28)),"Cuota fuera del rango",F17))</f>
        <v>#VALUE!</v>
      </c>
      <c r="M25" s="70"/>
      <c r="N25" s="70">
        <v>19600</v>
      </c>
      <c r="O25" s="68"/>
      <c r="P25" s="68"/>
      <c r="Q25" s="67"/>
      <c r="R25" s="67"/>
      <c r="S25" s="63"/>
      <c r="T25" s="63"/>
      <c r="U25" s="63"/>
      <c r="V25" s="63"/>
      <c r="W25" s="63"/>
      <c r="X25" s="63"/>
      <c r="Y25" s="63"/>
      <c r="Z25" s="63"/>
      <c r="AA25" s="63"/>
      <c r="AB25" s="59"/>
      <c r="AC25" s="59"/>
      <c r="AD25" s="59"/>
      <c r="AE25" s="59"/>
      <c r="AF25" s="59"/>
      <c r="AG25" s="59"/>
      <c r="AH25" s="59"/>
      <c r="AI25" s="59"/>
      <c r="AJ25" s="59"/>
    </row>
    <row r="26" spans="1:36" ht="15" hidden="1" customHeight="1" x14ac:dyDescent="0.25">
      <c r="A26" s="60"/>
      <c r="F26" s="65"/>
      <c r="G26" s="65"/>
      <c r="H26" s="75"/>
      <c r="I26" s="15"/>
      <c r="J26" s="15"/>
      <c r="K26" s="96"/>
      <c r="L26" s="95"/>
      <c r="M26" s="70"/>
      <c r="N26" s="70">
        <v>10800</v>
      </c>
      <c r="O26" s="68"/>
      <c r="P26" s="68"/>
      <c r="Q26" s="67"/>
      <c r="R26" s="67"/>
      <c r="S26" s="63"/>
      <c r="T26" s="63"/>
      <c r="U26" s="63"/>
      <c r="V26" s="63"/>
      <c r="W26" s="63"/>
      <c r="X26" s="63"/>
      <c r="Y26" s="63"/>
      <c r="Z26" s="63"/>
      <c r="AA26" s="63"/>
      <c r="AB26" s="59"/>
      <c r="AC26" s="59"/>
      <c r="AD26" s="59"/>
      <c r="AE26" s="59"/>
      <c r="AF26" s="59"/>
      <c r="AG26" s="59"/>
      <c r="AH26" s="59"/>
      <c r="AI26" s="59"/>
      <c r="AJ26" s="59"/>
    </row>
    <row r="27" spans="1:36" ht="9.9499999999999993" customHeight="1" x14ac:dyDescent="0.25">
      <c r="A27" s="60"/>
      <c r="B27" s="3"/>
      <c r="C27" s="3"/>
      <c r="D27" s="3"/>
      <c r="E27" s="3"/>
      <c r="F27" s="74"/>
      <c r="G27" s="74"/>
      <c r="H27" s="75"/>
      <c r="I27" s="15"/>
      <c r="J27" s="15"/>
      <c r="K27" s="96"/>
      <c r="L27" s="95"/>
      <c r="M27" s="95"/>
      <c r="N27" s="95"/>
      <c r="O27" s="68"/>
      <c r="P27" s="68"/>
      <c r="Q27" s="67"/>
      <c r="R27" s="67"/>
      <c r="S27" s="63"/>
      <c r="T27" s="63"/>
      <c r="U27" s="63"/>
      <c r="V27" s="63"/>
      <c r="W27" s="63"/>
      <c r="X27" s="63"/>
      <c r="Y27" s="63"/>
      <c r="Z27" s="63"/>
      <c r="AA27" s="63"/>
      <c r="AB27" s="59"/>
      <c r="AC27" s="59"/>
      <c r="AD27" s="59"/>
      <c r="AE27" s="59"/>
      <c r="AF27" s="59"/>
      <c r="AG27" s="59"/>
      <c r="AH27" s="59"/>
      <c r="AI27" s="59"/>
      <c r="AJ27" s="59"/>
    </row>
    <row r="28" spans="1:36" ht="15" customHeight="1" x14ac:dyDescent="0.25">
      <c r="A28" s="60"/>
      <c r="B28" s="31" t="s">
        <v>22</v>
      </c>
      <c r="C28" s="31"/>
      <c r="D28" s="31"/>
      <c r="E28" s="31"/>
      <c r="F28" s="42" t="str">
        <f>IF(F23="Cuota fuera del rango","Cuota fuera del rango",IF(F17="","",IF(F14="no",IF(AND(F12&gt;=L9,F12&lt;=M23),N23,IF(AND(F12&gt;M23,F12&lt;=M24),N24,IF(AND(F12&gt;M24,F12&lt;=M9),N25,IF(AND(F12&gt;L10,F12&lt;=L11),N26,"0")))),"0")))</f>
        <v/>
      </c>
      <c r="G28" s="43"/>
      <c r="H28" s="98"/>
      <c r="I28" s="99"/>
      <c r="J28" s="99"/>
      <c r="K28" s="68"/>
      <c r="L28" s="100"/>
      <c r="M28" s="68"/>
      <c r="N28" s="68"/>
      <c r="O28" s="68"/>
      <c r="P28" s="69"/>
      <c r="Q28" s="67"/>
      <c r="R28" s="67"/>
      <c r="S28" s="63"/>
      <c r="T28" s="63"/>
      <c r="U28" s="63"/>
      <c r="V28" s="63"/>
      <c r="W28" s="63"/>
      <c r="X28" s="63"/>
      <c r="Y28" s="63"/>
      <c r="Z28" s="63"/>
      <c r="AA28" s="63"/>
      <c r="AB28" s="59"/>
      <c r="AC28" s="59"/>
      <c r="AD28" s="59"/>
      <c r="AE28" s="59"/>
      <c r="AF28" s="59"/>
      <c r="AG28" s="59"/>
      <c r="AH28" s="59"/>
      <c r="AI28" s="59"/>
      <c r="AJ28" s="59"/>
    </row>
    <row r="29" spans="1:36" ht="9.9499999999999993" customHeight="1" x14ac:dyDescent="0.25">
      <c r="A29" s="60"/>
      <c r="B29" s="23"/>
      <c r="C29" s="23"/>
      <c r="D29" s="23"/>
      <c r="E29" s="23"/>
      <c r="F29" s="15"/>
      <c r="G29" s="15"/>
      <c r="H29" s="98"/>
      <c r="I29" s="99"/>
      <c r="J29" s="99"/>
      <c r="K29" s="68"/>
      <c r="L29" s="100" t="e">
        <f>IF(AND(F14="Sí",(F17/F12)&gt;30%),"ERROR","ok")</f>
        <v>#DIV/0!</v>
      </c>
      <c r="M29" s="68"/>
      <c r="N29" s="68"/>
      <c r="O29" s="68"/>
      <c r="P29" s="69"/>
      <c r="Q29" s="67"/>
      <c r="R29" s="67"/>
      <c r="S29" s="63"/>
      <c r="T29" s="63"/>
      <c r="U29" s="63"/>
      <c r="V29" s="63"/>
      <c r="W29" s="63"/>
      <c r="X29" s="63"/>
      <c r="Y29" s="63"/>
      <c r="Z29" s="63"/>
      <c r="AA29" s="63"/>
      <c r="AB29" s="59"/>
      <c r="AC29" s="59"/>
      <c r="AD29" s="59" t="b">
        <f>+IF(F37&lt;=485,"mayor a 100%")</f>
        <v>0</v>
      </c>
      <c r="AE29" s="59"/>
      <c r="AF29" s="59"/>
      <c r="AG29" s="59"/>
      <c r="AH29" s="59"/>
      <c r="AI29" s="59"/>
      <c r="AJ29" s="59"/>
    </row>
    <row r="30" spans="1:36" ht="15" customHeight="1" x14ac:dyDescent="0.25">
      <c r="A30" s="60"/>
      <c r="B30" s="31" t="s">
        <v>31</v>
      </c>
      <c r="C30" s="31"/>
      <c r="D30" s="31"/>
      <c r="E30" s="31"/>
      <c r="F30" s="34"/>
      <c r="G30" s="35"/>
      <c r="H30" s="98"/>
      <c r="I30" s="99"/>
      <c r="J30" s="99"/>
      <c r="K30" s="68"/>
      <c r="L30" s="68"/>
      <c r="M30" s="68"/>
      <c r="N30" s="68"/>
      <c r="O30" s="68"/>
      <c r="P30" s="69"/>
      <c r="Q30" s="67"/>
      <c r="R30" s="67"/>
      <c r="S30" s="63" t="s">
        <v>33</v>
      </c>
      <c r="T30" s="63"/>
      <c r="U30" s="63"/>
      <c r="V30" s="63"/>
      <c r="W30" s="63"/>
      <c r="X30" s="63"/>
      <c r="Y30" s="63"/>
      <c r="Z30" s="63"/>
      <c r="AA30" s="63"/>
      <c r="AB30" s="59"/>
      <c r="AC30" s="59"/>
      <c r="AD30" s="59"/>
      <c r="AE30" s="59"/>
      <c r="AF30" s="59"/>
      <c r="AG30" s="59"/>
      <c r="AH30" s="59"/>
      <c r="AI30" s="59"/>
      <c r="AJ30" s="59"/>
    </row>
    <row r="31" spans="1:36" ht="9.9499999999999993" customHeight="1" x14ac:dyDescent="0.25">
      <c r="B31" s="23"/>
      <c r="C31" s="23"/>
      <c r="D31" s="23"/>
      <c r="E31" s="23"/>
      <c r="F31" s="74"/>
      <c r="G31" s="74"/>
      <c r="H31" s="98"/>
      <c r="I31" s="99"/>
      <c r="J31" s="101"/>
      <c r="K31" s="100"/>
      <c r="L31" s="68"/>
      <c r="M31" s="68" t="e">
        <f>F17+F28&gt;=(10%*F12)</f>
        <v>#VALUE!</v>
      </c>
      <c r="N31" s="68"/>
      <c r="O31" s="68">
        <v>108000</v>
      </c>
      <c r="P31" s="69"/>
      <c r="Q31" s="67"/>
      <c r="R31" s="67"/>
      <c r="S31" s="63"/>
      <c r="T31" s="63"/>
      <c r="U31" s="63"/>
      <c r="V31" s="63"/>
      <c r="W31" s="63"/>
      <c r="X31" s="63"/>
      <c r="Y31" s="63"/>
      <c r="Z31" s="63"/>
      <c r="AA31" s="63"/>
      <c r="AB31" s="59"/>
      <c r="AC31" s="59"/>
      <c r="AD31" s="59"/>
      <c r="AE31" s="59"/>
      <c r="AF31" s="59"/>
      <c r="AG31" s="59"/>
      <c r="AH31" s="59"/>
      <c r="AI31" s="59"/>
      <c r="AJ31" s="59"/>
    </row>
    <row r="32" spans="1:36" ht="15" hidden="1" customHeight="1" x14ac:dyDescent="0.25">
      <c r="B32" s="4"/>
      <c r="C32" s="4"/>
      <c r="D32" s="4"/>
      <c r="E32" s="4"/>
      <c r="F32" s="4"/>
      <c r="G32" s="4"/>
      <c r="H32" s="98"/>
      <c r="I32" s="99"/>
      <c r="J32" s="99"/>
      <c r="K32" s="68"/>
      <c r="L32" s="68"/>
      <c r="M32" s="68"/>
      <c r="N32" s="68"/>
      <c r="O32" s="68"/>
      <c r="P32" s="69"/>
      <c r="Q32" s="67"/>
      <c r="R32" s="67"/>
      <c r="S32" s="63"/>
      <c r="T32" s="63"/>
      <c r="U32" s="63"/>
      <c r="V32" s="63"/>
      <c r="W32" s="63"/>
      <c r="X32" s="63"/>
      <c r="Y32" s="63"/>
      <c r="Z32" s="63"/>
      <c r="AA32" s="63"/>
      <c r="AB32" s="59"/>
      <c r="AC32" s="59"/>
      <c r="AD32" s="59"/>
      <c r="AE32" s="59"/>
      <c r="AF32" s="59"/>
      <c r="AG32" s="59"/>
      <c r="AH32" s="59"/>
      <c r="AI32" s="59"/>
      <c r="AJ32" s="59"/>
    </row>
    <row r="33" spans="2:36" ht="15" hidden="1" customHeight="1" x14ac:dyDescent="0.25">
      <c r="B33" s="4"/>
      <c r="C33" s="4"/>
      <c r="D33" s="4"/>
      <c r="E33" s="4"/>
      <c r="F33" s="4"/>
      <c r="G33" s="4"/>
      <c r="H33" s="98"/>
      <c r="I33" s="99"/>
      <c r="J33" s="99"/>
      <c r="K33" s="69"/>
      <c r="L33" s="68"/>
      <c r="M33" s="69"/>
      <c r="N33" s="69"/>
      <c r="O33" s="69"/>
      <c r="P33" s="69"/>
      <c r="Q33" s="67"/>
      <c r="R33" s="67"/>
      <c r="S33" s="63"/>
      <c r="T33" s="63"/>
      <c r="U33" s="63"/>
      <c r="V33" s="63"/>
      <c r="W33" s="63"/>
      <c r="X33" s="63"/>
      <c r="Y33" s="63"/>
      <c r="Z33" s="63"/>
      <c r="AA33" s="63"/>
      <c r="AB33" s="59"/>
      <c r="AC33" s="59"/>
      <c r="AD33" s="59"/>
      <c r="AE33" s="59"/>
      <c r="AF33" s="59"/>
      <c r="AG33" s="59"/>
      <c r="AH33" s="59"/>
      <c r="AI33" s="59"/>
      <c r="AJ33" s="59"/>
    </row>
    <row r="34" spans="2:36" ht="2.25" customHeight="1" x14ac:dyDescent="0.25">
      <c r="B34" s="23"/>
      <c r="C34" s="23"/>
      <c r="D34" s="23"/>
      <c r="E34" s="23"/>
      <c r="F34" s="102"/>
      <c r="G34" s="102"/>
      <c r="H34" s="98"/>
      <c r="I34" s="98"/>
      <c r="J34" s="98" t="str">
        <f>IF(AND(J24&gt;=57500,J24&lt;=82200),"S/.17,500",IF(AND(J24&gt;82200,J24&lt;=123200),"S/.14,400",IF(AND(J24&gt;123200,J24&lt;=205300),"S/.12,900",IF(AND(J24&gt;205300,J24&lt;=304100),"S/.6,200",""))))</f>
        <v/>
      </c>
      <c r="K34" s="69"/>
      <c r="L34" s="68"/>
      <c r="M34" s="69"/>
      <c r="N34" s="69" t="str">
        <f>IF(AND(N24&gt;=57500,N24&lt;=82200),"S/.17,500",IF(AND(N24&gt;82200,N24&lt;=123200),"S/.14,400",IF(AND(N24&gt;123200,N24&lt;=205300),"S/.12,900",IF(AND(N24&gt;205300,N24&lt;=304100),"S/.6,200",""))))</f>
        <v/>
      </c>
      <c r="O34" s="69"/>
      <c r="P34" s="69"/>
      <c r="Q34" s="67"/>
      <c r="R34" s="67"/>
      <c r="S34" s="63"/>
      <c r="T34" s="63"/>
      <c r="U34" s="63"/>
      <c r="V34" s="63"/>
      <c r="W34" s="63"/>
      <c r="X34" s="63"/>
      <c r="Y34" s="63"/>
      <c r="Z34" s="63"/>
      <c r="AA34" s="63"/>
      <c r="AB34" s="59"/>
      <c r="AC34" s="59"/>
      <c r="AD34" s="59"/>
      <c r="AE34" s="59"/>
      <c r="AF34" s="59"/>
      <c r="AG34" s="59"/>
      <c r="AH34" s="59"/>
      <c r="AI34" s="59"/>
      <c r="AJ34" s="59"/>
    </row>
    <row r="35" spans="2:36" ht="15" customHeight="1" x14ac:dyDescent="0.25">
      <c r="B35" s="26" t="s">
        <v>30</v>
      </c>
      <c r="C35" s="26"/>
      <c r="D35" s="26"/>
      <c r="E35" s="26"/>
      <c r="F35" s="27" t="str">
        <f>IFERROR(IF(F28="0","0",IF(F23="Cuota fuera del rango","Cuota fuera del rango",IF(AND(F14="No",F30="Sí"),5400+F28,F28))),"")</f>
        <v/>
      </c>
      <c r="G35" s="28" t="e">
        <f>IF(#REF!="No", 5000, 0)</f>
        <v>#REF!</v>
      </c>
      <c r="H35" s="103"/>
      <c r="I35" s="103"/>
      <c r="J35" s="103"/>
      <c r="K35" s="69"/>
      <c r="L35" s="68" t="e">
        <f>IF(F17+F28&gt;=(10%*F12),F37,"Más Aporte")</f>
        <v>#VALUE!</v>
      </c>
      <c r="M35" s="69"/>
      <c r="N35" s="69"/>
      <c r="O35" s="69"/>
      <c r="P35" s="69"/>
      <c r="Q35" s="67"/>
      <c r="R35" s="67"/>
      <c r="S35" s="63"/>
      <c r="T35" s="63"/>
      <c r="U35" s="63"/>
      <c r="V35" s="63"/>
      <c r="W35" s="63"/>
      <c r="X35" s="63"/>
      <c r="Y35" s="63"/>
      <c r="Z35" s="63"/>
      <c r="AA35" s="63"/>
      <c r="AB35" s="59"/>
      <c r="AC35" s="59"/>
      <c r="AD35" s="59"/>
      <c r="AE35" s="59"/>
      <c r="AF35" s="59"/>
      <c r="AG35" s="59"/>
      <c r="AH35" s="59"/>
      <c r="AI35" s="59"/>
      <c r="AJ35" s="59"/>
    </row>
    <row r="36" spans="2:36" ht="9.9499999999999993" customHeight="1" x14ac:dyDescent="0.25">
      <c r="B36" s="25"/>
      <c r="C36" s="25"/>
      <c r="D36" s="25"/>
      <c r="E36" s="25"/>
      <c r="F36" s="104"/>
      <c r="G36" s="104"/>
      <c r="H36" s="105" t="e">
        <f>$F$12-$F$17-$F$28</f>
        <v>#VALUE!</v>
      </c>
      <c r="I36" s="103">
        <f>0.9*F12</f>
        <v>0</v>
      </c>
      <c r="J36" s="103"/>
      <c r="K36" s="69"/>
      <c r="L36" s="68"/>
      <c r="M36" s="69"/>
      <c r="N36" s="69"/>
      <c r="O36" s="69"/>
      <c r="P36" s="69"/>
      <c r="Q36" s="67"/>
      <c r="R36" s="67"/>
      <c r="S36" s="63"/>
      <c r="T36" s="63"/>
      <c r="U36" s="63"/>
      <c r="V36" s="63"/>
      <c r="W36" s="63"/>
      <c r="X36" s="63"/>
      <c r="Y36" s="63"/>
      <c r="Z36" s="63"/>
      <c r="AA36" s="63"/>
      <c r="AB36" s="59"/>
      <c r="AC36" s="59"/>
      <c r="AD36" s="59"/>
      <c r="AE36" s="59"/>
      <c r="AF36" s="59"/>
      <c r="AG36" s="59"/>
      <c r="AH36" s="59"/>
      <c r="AI36" s="59"/>
      <c r="AJ36" s="59"/>
    </row>
    <row r="37" spans="2:36" ht="15" customHeight="1" x14ac:dyDescent="0.25">
      <c r="B37" s="38" t="s">
        <v>20</v>
      </c>
      <c r="C37" s="39"/>
      <c r="D37" s="39"/>
      <c r="E37" s="39"/>
      <c r="F37" s="106" t="str">
        <f>IFERROR(IF(L54="cuota fuera de rango","cuota fuera de rango",IF($F$12="","",IF($F$17="","",IF($F$23="Cuota fuera del rango","Cuota fuera del rango",IF($F$12&lt;&gt;"",IF(($F$12-$F$17),IF($F$35="","",($F$12-$F$17-$F$35)))))))),"")</f>
        <v/>
      </c>
      <c r="G37" s="107"/>
      <c r="H37" s="108"/>
      <c r="I37" s="99"/>
      <c r="J37" s="99"/>
      <c r="K37" s="69"/>
      <c r="L37" s="68" t="str">
        <f>IF((F12-F17)&gt;0,"ok","error")</f>
        <v>error</v>
      </c>
      <c r="M37" s="68" t="str">
        <f>IF((F12-F17)&lt;0.3,"ok","error")</f>
        <v>ok</v>
      </c>
      <c r="N37" s="69"/>
      <c r="O37" s="69"/>
      <c r="P37" s="69"/>
      <c r="Q37" s="67"/>
      <c r="R37" s="67"/>
      <c r="S37" s="63"/>
      <c r="T37" s="63"/>
      <c r="U37" s="63"/>
      <c r="V37" s="63"/>
      <c r="W37" s="63"/>
      <c r="X37" s="63"/>
      <c r="Y37" s="63"/>
      <c r="Z37" s="63"/>
      <c r="AA37" s="63"/>
      <c r="AB37" s="59"/>
      <c r="AC37" s="59"/>
      <c r="AD37" s="59"/>
      <c r="AE37" s="59"/>
      <c r="AF37" s="59"/>
      <c r="AG37" s="59"/>
      <c r="AH37" s="59"/>
      <c r="AI37" s="59"/>
      <c r="AJ37" s="59"/>
    </row>
    <row r="38" spans="2:36" ht="9.9499999999999993" customHeight="1" x14ac:dyDescent="0.25">
      <c r="B38" s="3"/>
      <c r="C38" s="3"/>
      <c r="D38" s="3"/>
      <c r="E38" s="3"/>
      <c r="F38" s="74"/>
      <c r="G38" s="74"/>
      <c r="H38" s="75"/>
      <c r="I38" s="15"/>
      <c r="J38" s="15"/>
      <c r="K38" s="96"/>
      <c r="L38" s="68"/>
      <c r="M38" s="69"/>
      <c r="N38" s="69"/>
      <c r="O38" s="69"/>
      <c r="P38" s="69"/>
      <c r="Q38" s="67"/>
      <c r="R38" s="67"/>
      <c r="S38" s="63"/>
      <c r="T38" s="63"/>
      <c r="U38" s="63"/>
      <c r="V38" s="63"/>
      <c r="W38" s="63"/>
      <c r="X38" s="63"/>
      <c r="Y38" s="63"/>
      <c r="Z38" s="63"/>
      <c r="AA38" s="63"/>
      <c r="AB38" s="59"/>
      <c r="AC38" s="59"/>
      <c r="AD38" s="59"/>
      <c r="AE38" s="59"/>
      <c r="AF38" s="59"/>
      <c r="AG38" s="59"/>
      <c r="AH38" s="59"/>
      <c r="AI38" s="59"/>
      <c r="AJ38" s="59"/>
    </row>
    <row r="39" spans="2:36" ht="15" customHeight="1" x14ac:dyDescent="0.25">
      <c r="B39" s="31" t="s">
        <v>23</v>
      </c>
      <c r="C39" s="31"/>
      <c r="D39" s="31"/>
      <c r="E39" s="31"/>
      <c r="F39" s="50"/>
      <c r="G39" s="51"/>
      <c r="H39" s="91"/>
      <c r="I39" s="71"/>
      <c r="J39" s="71"/>
      <c r="K39" s="109"/>
      <c r="L39" s="68"/>
      <c r="M39" s="69"/>
      <c r="N39" s="69"/>
      <c r="O39" s="69">
        <v>70000</v>
      </c>
      <c r="P39" s="69"/>
      <c r="Q39" s="67"/>
      <c r="R39" s="67"/>
      <c r="S39" s="63"/>
      <c r="T39" s="63"/>
      <c r="U39" s="63"/>
      <c r="V39" s="63"/>
      <c r="W39" s="63"/>
      <c r="X39" s="63"/>
      <c r="Y39" s="63"/>
      <c r="Z39" s="63"/>
      <c r="AA39" s="63"/>
      <c r="AB39" s="59"/>
      <c r="AC39" s="59"/>
      <c r="AD39" s="59"/>
      <c r="AE39" s="59"/>
      <c r="AF39" s="59"/>
      <c r="AG39" s="59"/>
      <c r="AH39" s="59"/>
      <c r="AI39" s="59"/>
      <c r="AJ39" s="59"/>
    </row>
    <row r="40" spans="2:36" ht="9.9499999999999993" customHeight="1" x14ac:dyDescent="0.25">
      <c r="B40" s="15"/>
      <c r="C40" s="15"/>
      <c r="D40" s="15"/>
      <c r="E40" s="15"/>
      <c r="F40" s="110"/>
      <c r="G40" s="110"/>
      <c r="H40" s="75"/>
      <c r="I40" s="15"/>
      <c r="J40" s="15"/>
      <c r="K40" s="96"/>
      <c r="L40" s="111" t="str">
        <f>F37</f>
        <v/>
      </c>
      <c r="M40" s="70" t="e">
        <f>F12-F17-F35</f>
        <v>#VALUE!</v>
      </c>
      <c r="N40" s="69"/>
      <c r="O40" s="69">
        <v>10800</v>
      </c>
      <c r="P40" s="69"/>
      <c r="Q40" s="67"/>
      <c r="R40" s="67"/>
      <c r="S40" s="63"/>
      <c r="T40" s="63"/>
      <c r="U40" s="63"/>
      <c r="V40" s="63"/>
      <c r="W40" s="63"/>
      <c r="X40" s="63"/>
      <c r="Y40" s="63"/>
      <c r="Z40" s="63"/>
      <c r="AA40" s="63"/>
      <c r="AB40" s="59"/>
      <c r="AC40" s="59"/>
      <c r="AD40" s="59"/>
      <c r="AE40" s="59"/>
      <c r="AF40" s="59"/>
      <c r="AG40" s="59"/>
      <c r="AH40" s="59"/>
      <c r="AI40" s="59"/>
      <c r="AJ40" s="59"/>
    </row>
    <row r="41" spans="2:36" ht="16.5" hidden="1" x14ac:dyDescent="0.25">
      <c r="B41" s="36" t="s">
        <v>2</v>
      </c>
      <c r="C41" s="36"/>
      <c r="D41" s="36"/>
      <c r="E41" s="36"/>
      <c r="F41" s="112">
        <f>(1+F39)^(30/360)-1</f>
        <v>0</v>
      </c>
      <c r="G41" s="113"/>
      <c r="H41" s="91"/>
      <c r="I41" s="71"/>
      <c r="J41" s="72"/>
      <c r="K41" s="114"/>
      <c r="L41" s="68"/>
      <c r="M41" s="115"/>
      <c r="N41" s="69"/>
      <c r="O41" s="69"/>
      <c r="P41" s="69"/>
      <c r="Q41" s="67"/>
      <c r="R41" s="67"/>
      <c r="S41" s="63"/>
      <c r="T41" s="63"/>
      <c r="U41" s="63"/>
      <c r="V41" s="63"/>
      <c r="W41" s="63"/>
      <c r="X41" s="63"/>
      <c r="Y41" s="63"/>
      <c r="Z41" s="63"/>
      <c r="AA41" s="63"/>
      <c r="AB41" s="59"/>
      <c r="AC41" s="59"/>
      <c r="AD41" s="59"/>
      <c r="AE41" s="59"/>
      <c r="AF41" s="59"/>
      <c r="AG41" s="59"/>
      <c r="AH41" s="59"/>
      <c r="AI41" s="59"/>
      <c r="AJ41" s="59"/>
    </row>
    <row r="42" spans="2:36" ht="16.5" hidden="1" x14ac:dyDescent="0.25">
      <c r="B42" s="15"/>
      <c r="C42" s="15"/>
      <c r="D42" s="15"/>
      <c r="E42" s="15"/>
      <c r="F42" s="110"/>
      <c r="G42" s="110"/>
      <c r="H42" s="75"/>
      <c r="I42" s="15"/>
      <c r="J42" s="15"/>
      <c r="K42" s="96"/>
      <c r="L42" s="68"/>
      <c r="M42" s="69"/>
      <c r="N42" s="69"/>
      <c r="O42" s="69"/>
      <c r="P42" s="69"/>
      <c r="Q42" s="67"/>
      <c r="R42" s="67"/>
      <c r="S42" s="63"/>
      <c r="T42" s="63"/>
      <c r="U42" s="63"/>
      <c r="V42" s="63"/>
      <c r="W42" s="63"/>
      <c r="X42" s="63"/>
      <c r="Y42" s="63"/>
      <c r="Z42" s="63"/>
      <c r="AA42" s="63"/>
      <c r="AB42" s="59"/>
      <c r="AC42" s="59"/>
      <c r="AD42" s="59"/>
      <c r="AE42" s="59"/>
      <c r="AF42" s="59"/>
      <c r="AG42" s="59"/>
      <c r="AH42" s="59"/>
      <c r="AI42" s="59"/>
      <c r="AJ42" s="59"/>
    </row>
    <row r="43" spans="2:36" ht="16.5" x14ac:dyDescent="0.25">
      <c r="B43" s="31" t="s">
        <v>24</v>
      </c>
      <c r="C43" s="31"/>
      <c r="D43" s="31"/>
      <c r="E43" s="31"/>
      <c r="F43" s="52">
        <v>3.5E-4</v>
      </c>
      <c r="G43" s="53"/>
      <c r="H43" s="91"/>
      <c r="I43" s="71"/>
      <c r="J43" s="72"/>
      <c r="K43" s="114"/>
      <c r="L43" s="68"/>
      <c r="M43" s="69"/>
      <c r="N43" s="69"/>
      <c r="O43" s="69">
        <v>15900</v>
      </c>
      <c r="P43" s="69"/>
      <c r="Q43" s="67"/>
      <c r="R43" s="67"/>
      <c r="S43" s="63"/>
      <c r="T43" s="63"/>
      <c r="U43" s="63"/>
      <c r="V43" s="63"/>
      <c r="W43" s="63"/>
      <c r="X43" s="63"/>
      <c r="Y43" s="63"/>
      <c r="Z43" s="63"/>
      <c r="AA43" s="63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2:36" ht="9.9499999999999993" customHeight="1" x14ac:dyDescent="0.25">
      <c r="B44" s="15"/>
      <c r="C44" s="15"/>
      <c r="D44" s="15"/>
      <c r="E44" s="15"/>
      <c r="F44" s="110"/>
      <c r="G44" s="110"/>
      <c r="H44" s="75"/>
      <c r="I44" s="15"/>
      <c r="J44" s="15"/>
      <c r="K44" s="96"/>
      <c r="L44" s="68"/>
      <c r="M44" s="69"/>
      <c r="N44" s="69"/>
      <c r="O44" s="69">
        <f>SUM(O39:O43)</f>
        <v>96700</v>
      </c>
      <c r="P44" s="116">
        <f>+O44/300000</f>
        <v>0.32233333333333336</v>
      </c>
      <c r="Q44" s="67"/>
      <c r="R44" s="67"/>
      <c r="S44" s="63"/>
      <c r="T44" s="63"/>
      <c r="U44" s="63"/>
      <c r="V44" s="63"/>
      <c r="W44" s="63"/>
      <c r="X44" s="63"/>
      <c r="Y44" s="63"/>
      <c r="Z44" s="63"/>
      <c r="AA44" s="63"/>
      <c r="AB44" s="59"/>
      <c r="AC44" s="59"/>
      <c r="AD44" s="59"/>
      <c r="AE44" s="59"/>
      <c r="AF44" s="59"/>
      <c r="AG44" s="59"/>
      <c r="AH44" s="59"/>
      <c r="AI44" s="59"/>
      <c r="AJ44" s="59"/>
    </row>
    <row r="45" spans="2:36" ht="15" customHeight="1" x14ac:dyDescent="0.25">
      <c r="B45" s="31" t="s">
        <v>25</v>
      </c>
      <c r="C45" s="31"/>
      <c r="D45" s="31"/>
      <c r="E45" s="31"/>
      <c r="F45" s="50">
        <v>3.0000000000000001E-3</v>
      </c>
      <c r="G45" s="51"/>
      <c r="H45" s="91"/>
      <c r="I45" s="71"/>
      <c r="J45" s="72"/>
      <c r="K45" s="114" t="e">
        <f>+IF(F23="Cuota fuera del rango","Cuota fuera del rango",IF(F12&lt;F17+F35,"Cuota fuera de rango",F17))</f>
        <v>#VALUE!</v>
      </c>
      <c r="L45" s="68"/>
      <c r="M45" s="69"/>
      <c r="N45" s="69"/>
      <c r="O45" s="69"/>
      <c r="P45" s="69"/>
      <c r="Q45" s="67"/>
      <c r="R45" s="67"/>
      <c r="S45" s="63"/>
      <c r="T45" s="63"/>
      <c r="U45" s="63"/>
      <c r="V45" s="63"/>
      <c r="W45" s="63"/>
      <c r="X45" s="63"/>
      <c r="Y45" s="63"/>
      <c r="Z45" s="63"/>
      <c r="AA45" s="63"/>
      <c r="AB45" s="59"/>
      <c r="AC45" s="117" t="e">
        <f>RATE($F$47,Cronograma!I10,-$F$37)</f>
        <v>#VALUE!</v>
      </c>
      <c r="AD45" s="59"/>
      <c r="AE45" s="59"/>
      <c r="AF45" s="59"/>
      <c r="AG45" s="59"/>
      <c r="AH45" s="59"/>
      <c r="AI45" s="59"/>
      <c r="AJ45" s="59"/>
    </row>
    <row r="46" spans="2:36" ht="9.9499999999999993" customHeight="1" x14ac:dyDescent="0.25">
      <c r="B46" s="15"/>
      <c r="C46" s="15"/>
      <c r="D46" s="15"/>
      <c r="E46" s="15"/>
      <c r="F46" s="74"/>
      <c r="G46" s="74"/>
      <c r="H46" s="75"/>
      <c r="I46" s="15"/>
      <c r="J46" s="15"/>
      <c r="K46" s="96"/>
      <c r="L46" s="68"/>
      <c r="M46" s="69"/>
      <c r="N46" s="69"/>
      <c r="O46" s="69"/>
      <c r="P46" s="69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59"/>
      <c r="AC46" s="59"/>
      <c r="AD46" s="59"/>
      <c r="AE46" s="59"/>
      <c r="AF46" s="59"/>
      <c r="AG46" s="59"/>
      <c r="AH46" s="59"/>
      <c r="AI46" s="59"/>
      <c r="AJ46" s="59"/>
    </row>
    <row r="47" spans="2:36" ht="15" customHeight="1" x14ac:dyDescent="0.25">
      <c r="B47" s="31" t="s">
        <v>26</v>
      </c>
      <c r="C47" s="31"/>
      <c r="D47" s="31"/>
      <c r="E47" s="31"/>
      <c r="F47" s="46"/>
      <c r="G47" s="47"/>
      <c r="H47" s="118"/>
      <c r="I47" s="118"/>
      <c r="J47" s="118"/>
      <c r="K47" s="69"/>
      <c r="L47" s="68" t="e">
        <f>(F12-F17-F35)/F12</f>
        <v>#VALUE!</v>
      </c>
      <c r="M47" s="69"/>
      <c r="N47" s="69"/>
      <c r="O47" s="69"/>
      <c r="P47" s="69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59"/>
      <c r="AC47" s="59"/>
      <c r="AD47" s="59"/>
      <c r="AE47" s="59"/>
      <c r="AF47" s="59"/>
      <c r="AG47" s="59"/>
      <c r="AH47" s="59"/>
      <c r="AI47" s="59"/>
      <c r="AJ47" s="59"/>
    </row>
    <row r="48" spans="2:36" ht="9.9499999999999993" customHeight="1" x14ac:dyDescent="0.25">
      <c r="B48" s="15"/>
      <c r="C48" s="15"/>
      <c r="D48" s="15"/>
      <c r="E48" s="15"/>
      <c r="F48" s="110"/>
      <c r="G48" s="110"/>
      <c r="H48" s="75"/>
      <c r="I48" s="15"/>
      <c r="J48" s="15"/>
      <c r="K48" s="96"/>
      <c r="L48" s="68"/>
      <c r="M48" s="69"/>
      <c r="N48" s="69"/>
      <c r="O48" s="69"/>
      <c r="P48" s="69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59"/>
      <c r="AC48" s="59"/>
      <c r="AD48" s="59"/>
      <c r="AE48" s="59"/>
      <c r="AF48" s="59"/>
      <c r="AG48" s="59"/>
      <c r="AH48" s="59"/>
      <c r="AI48" s="59"/>
      <c r="AJ48" s="59"/>
    </row>
    <row r="49" spans="2:36" ht="16.5" hidden="1" x14ac:dyDescent="0.25">
      <c r="B49" s="31" t="s">
        <v>3</v>
      </c>
      <c r="C49" s="31"/>
      <c r="D49" s="31"/>
      <c r="E49" s="31"/>
      <c r="F49" s="48" t="str">
        <f>IF(F12="","",IF(F23="Cuota fuera del rango","Cuota fuera del rango",IF($F$47&lt;&gt;"",RATE($F$47,Cronograma!I10,-$F$37),"")))</f>
        <v/>
      </c>
      <c r="G49" s="49"/>
      <c r="H49" s="91"/>
      <c r="I49" s="71"/>
      <c r="J49" s="72"/>
      <c r="K49" s="114"/>
      <c r="L49" s="68"/>
      <c r="M49" s="69"/>
      <c r="N49" s="69"/>
      <c r="O49" s="69"/>
      <c r="P49" s="69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59"/>
      <c r="AC49" s="59"/>
      <c r="AD49" s="59"/>
      <c r="AE49" s="59"/>
      <c r="AF49" s="59"/>
      <c r="AG49" s="59"/>
      <c r="AH49" s="59"/>
      <c r="AI49" s="59"/>
      <c r="AJ49" s="59"/>
    </row>
    <row r="50" spans="2:36" ht="9.75" hidden="1" customHeight="1" x14ac:dyDescent="0.25">
      <c r="B50" s="15"/>
      <c r="C50" s="15"/>
      <c r="D50" s="15"/>
      <c r="E50" s="15"/>
      <c r="F50" s="110"/>
      <c r="G50" s="110"/>
      <c r="H50" s="75"/>
      <c r="I50" s="15"/>
      <c r="J50" s="15"/>
      <c r="K50" s="96"/>
      <c r="L50" s="68"/>
      <c r="M50" s="69"/>
      <c r="N50" s="69"/>
      <c r="O50" s="69"/>
      <c r="P50" s="69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59"/>
      <c r="AC50" s="59"/>
      <c r="AD50" s="59"/>
      <c r="AE50" s="59"/>
      <c r="AF50" s="59"/>
      <c r="AG50" s="59"/>
      <c r="AH50" s="59"/>
      <c r="AI50" s="59"/>
      <c r="AJ50" s="59"/>
    </row>
    <row r="51" spans="2:36" ht="15" customHeight="1" x14ac:dyDescent="0.25">
      <c r="B51" s="31" t="s">
        <v>4</v>
      </c>
      <c r="C51" s="31"/>
      <c r="D51" s="31"/>
      <c r="E51" s="31"/>
      <c r="F51" s="44" t="str">
        <f>IFERROR(IF(F12="","",IF(F23="Cuota fuera del rango","Cuota fuera del rango",IF($F$47&lt;&gt;"",((1+$F$49)^(360/30)-1),""))),IF(AD29="mayor a 100%","mayor a 100%"))</f>
        <v/>
      </c>
      <c r="G51" s="45"/>
      <c r="H51" s="119"/>
      <c r="I51" s="71"/>
      <c r="J51" s="72"/>
      <c r="L51" s="68" t="e">
        <f>+IF(L47&gt;0.9,"cuota fuera de rango")</f>
        <v>#VALUE!</v>
      </c>
      <c r="M51" s="82"/>
      <c r="N51" s="69"/>
      <c r="O51" s="69"/>
      <c r="P51" s="69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59"/>
      <c r="AC51" s="59"/>
      <c r="AD51" s="59"/>
      <c r="AE51" s="59"/>
      <c r="AF51" s="59"/>
      <c r="AG51" s="59"/>
      <c r="AH51" s="59"/>
      <c r="AI51" s="59"/>
      <c r="AJ51" s="59"/>
    </row>
    <row r="52" spans="2:36" ht="9.9499999999999993" customHeight="1" x14ac:dyDescent="0.25">
      <c r="B52" s="23"/>
      <c r="C52" s="23"/>
      <c r="D52" s="23"/>
      <c r="E52" s="23"/>
      <c r="F52" s="102"/>
      <c r="G52" s="102"/>
      <c r="H52" s="91"/>
      <c r="I52" s="92" t="str">
        <f>IF(AND(I46&gt;=57500,I46&lt;=82200),"S/.17,500",IF(AND(I46&gt;82200,I46&lt;=123200),"S/.14,400",IF(AND(I46&gt;123200,I46&lt;=205300),"S/.12,900",IF(AND(I46&gt;205300,I46&lt;=304100),"S/.6,200",""))))</f>
        <v/>
      </c>
      <c r="J52" s="93"/>
      <c r="K52" s="69"/>
      <c r="L52" s="68"/>
      <c r="M52" s="69"/>
      <c r="N52" s="69"/>
      <c r="O52" s="69"/>
      <c r="P52" s="69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59"/>
      <c r="AC52" s="59"/>
      <c r="AD52" s="59"/>
      <c r="AE52" s="59"/>
      <c r="AF52" s="59"/>
      <c r="AG52" s="59"/>
      <c r="AH52" s="59"/>
      <c r="AI52" s="59"/>
      <c r="AJ52" s="59"/>
    </row>
    <row r="53" spans="2:36" ht="16.5" x14ac:dyDescent="0.25">
      <c r="B53" s="54" t="s">
        <v>21</v>
      </c>
      <c r="C53" s="54"/>
      <c r="D53" s="54"/>
      <c r="E53" s="54"/>
      <c r="F53" s="120" t="str">
        <f>IFERROR(IF(F12="","",IF(F23="cuota fuera del rango","cuota fuera del rango",IF($F$12&gt;0,Cronograma!I10,""))),"cuota fuera de rango")</f>
        <v/>
      </c>
      <c r="G53" s="121"/>
      <c r="H53" s="75"/>
      <c r="I53" s="122"/>
      <c r="J53" s="15"/>
      <c r="K53" s="96"/>
      <c r="L53" s="68"/>
      <c r="M53" s="69"/>
      <c r="N53" s="69" t="s">
        <v>34</v>
      </c>
      <c r="O53" s="69"/>
      <c r="P53" s="69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59"/>
      <c r="AC53" s="59"/>
      <c r="AD53" s="59"/>
      <c r="AE53" s="59"/>
      <c r="AF53" s="59"/>
      <c r="AG53" s="59"/>
      <c r="AH53" s="59"/>
      <c r="AI53" s="59"/>
      <c r="AJ53" s="59"/>
    </row>
    <row r="54" spans="2:36" ht="17.100000000000001" customHeight="1" x14ac:dyDescent="0.25">
      <c r="B54" s="3"/>
      <c r="C54" s="3"/>
      <c r="D54" s="3"/>
      <c r="E54" s="3"/>
      <c r="F54" s="74"/>
      <c r="G54" s="74"/>
      <c r="H54" s="75"/>
      <c r="I54" s="15"/>
      <c r="J54" s="15" t="str">
        <f>IF(AND(J48&gt;=57500,J48&lt;=82200),"S/.17,500",IF(AND(J48&gt;82200,J48&lt;=123200),"S/.14,400",IF(AND(J48&gt;123200,J48&lt;=205300),"S/.12,900",IF(AND(J48&gt;205300,J48&lt;=304100),"S/.6,200",""))))</f>
        <v/>
      </c>
      <c r="K54" s="123"/>
      <c r="L54" s="62" t="e">
        <f>+IF(OR(M40&lt;0,L51="cuota fuera de rango"),"cuota fuera de rango")</f>
        <v>#VALUE!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59"/>
      <c r="AC54" s="59"/>
      <c r="AD54" s="59"/>
      <c r="AE54" s="59"/>
      <c r="AF54" s="59"/>
      <c r="AG54" s="59"/>
      <c r="AH54" s="59"/>
      <c r="AI54" s="59"/>
      <c r="AJ54" s="59"/>
    </row>
    <row r="55" spans="2:36" ht="9.9499999999999993" customHeight="1" x14ac:dyDescent="0.25">
      <c r="B55" s="3"/>
      <c r="C55" s="3"/>
      <c r="D55" s="3"/>
      <c r="E55" s="3"/>
      <c r="F55" s="74"/>
      <c r="G55" s="74"/>
      <c r="H55" s="75"/>
      <c r="I55" s="15"/>
      <c r="J55" s="15"/>
      <c r="K55" s="123"/>
      <c r="L55" s="62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59"/>
      <c r="AC55" s="59"/>
      <c r="AD55" s="59"/>
      <c r="AE55" s="59"/>
      <c r="AF55" s="59"/>
      <c r="AG55" s="59"/>
      <c r="AH55" s="59"/>
      <c r="AI55" s="59"/>
      <c r="AJ55" s="59"/>
    </row>
    <row r="56" spans="2:36" ht="15" customHeight="1" x14ac:dyDescent="0.25">
      <c r="B56" s="3"/>
      <c r="C56" s="3"/>
      <c r="D56" s="3"/>
      <c r="E56" s="3"/>
      <c r="F56" s="61"/>
      <c r="G56" s="61"/>
      <c r="H56" s="91"/>
      <c r="I56" s="71"/>
      <c r="J56" s="72"/>
      <c r="K56" s="124"/>
      <c r="L56" s="62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59"/>
      <c r="AC56" s="59"/>
      <c r="AD56" s="59"/>
      <c r="AE56" s="59"/>
      <c r="AF56" s="59"/>
      <c r="AG56" s="59"/>
      <c r="AH56" s="59"/>
      <c r="AI56" s="59"/>
      <c r="AJ56" s="59"/>
    </row>
    <row r="57" spans="2:36" ht="9.9499999999999993" hidden="1" customHeight="1" x14ac:dyDescent="0.25">
      <c r="B57" s="3"/>
      <c r="C57" s="3"/>
      <c r="D57" s="3"/>
      <c r="E57" s="3"/>
      <c r="F57" s="74"/>
      <c r="G57" s="74"/>
      <c r="H57" s="75"/>
      <c r="I57" s="15"/>
      <c r="J57" s="15"/>
      <c r="K57" s="123"/>
      <c r="L57" s="62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59"/>
      <c r="AC57" s="59"/>
      <c r="AD57" s="59"/>
      <c r="AE57" s="59"/>
      <c r="AF57" s="59"/>
      <c r="AG57" s="59"/>
      <c r="AH57" s="59"/>
      <c r="AI57" s="59"/>
      <c r="AJ57" s="59"/>
    </row>
    <row r="58" spans="2:36" ht="9.9499999999999993" customHeight="1" x14ac:dyDescent="0.25">
      <c r="B58" s="3"/>
      <c r="C58" s="3"/>
      <c r="D58" s="3"/>
      <c r="E58" s="3"/>
      <c r="F58" s="61"/>
      <c r="G58" s="61"/>
      <c r="H58" s="3"/>
      <c r="I58" s="3"/>
      <c r="J58" s="3"/>
      <c r="K58" s="62"/>
      <c r="L58" s="62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59"/>
      <c r="AC58" s="59"/>
      <c r="AD58" s="59"/>
      <c r="AE58" s="59"/>
      <c r="AF58" s="59"/>
      <c r="AG58" s="59"/>
      <c r="AH58" s="59"/>
      <c r="AI58" s="59"/>
      <c r="AJ58" s="59"/>
    </row>
    <row r="59" spans="2:36" ht="9.9499999999999993" customHeight="1" x14ac:dyDescent="0.25">
      <c r="B59" s="3"/>
      <c r="C59" s="3"/>
      <c r="D59" s="3"/>
      <c r="E59" s="3"/>
      <c r="F59" s="61"/>
      <c r="G59" s="61"/>
      <c r="H59" s="3"/>
      <c r="I59" s="3"/>
      <c r="J59" s="3"/>
      <c r="K59" s="62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59"/>
      <c r="AC59" s="59"/>
      <c r="AD59" s="59"/>
      <c r="AE59" s="59"/>
      <c r="AF59" s="59"/>
      <c r="AG59" s="59"/>
      <c r="AH59" s="59"/>
      <c r="AI59" s="59"/>
      <c r="AJ59" s="59"/>
    </row>
    <row r="60" spans="2:36" ht="15" customHeight="1" x14ac:dyDescent="0.25">
      <c r="B60" s="125" t="s">
        <v>14</v>
      </c>
      <c r="C60" s="125"/>
      <c r="D60" s="125"/>
      <c r="E60" s="125"/>
      <c r="F60" s="126"/>
      <c r="G60" s="126"/>
      <c r="H60" s="125"/>
      <c r="I60" s="125"/>
      <c r="J60" s="125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59"/>
      <c r="AC60" s="59"/>
      <c r="AD60" s="59"/>
      <c r="AE60" s="59"/>
      <c r="AF60" s="59"/>
      <c r="AG60" s="59"/>
      <c r="AH60" s="59"/>
      <c r="AI60" s="59"/>
      <c r="AJ60" s="59"/>
    </row>
    <row r="61" spans="2:36" ht="15" customHeight="1" x14ac:dyDescent="0.25">
      <c r="B61" s="125" t="s">
        <v>15</v>
      </c>
      <c r="C61" s="125"/>
      <c r="D61" s="125"/>
      <c r="E61" s="125"/>
      <c r="F61" s="126"/>
      <c r="G61" s="126"/>
      <c r="H61" s="125"/>
      <c r="I61" s="125"/>
      <c r="J61" s="125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2:36" ht="30" customHeight="1" x14ac:dyDescent="0.25">
      <c r="B62" s="127" t="s">
        <v>29</v>
      </c>
      <c r="C62" s="127"/>
      <c r="D62" s="127"/>
      <c r="E62" s="127"/>
      <c r="F62" s="127"/>
      <c r="G62" s="127"/>
      <c r="H62" s="127"/>
      <c r="I62" s="127"/>
      <c r="J62" s="127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59"/>
      <c r="AC62" s="59"/>
      <c r="AD62" s="59"/>
      <c r="AE62" s="59"/>
      <c r="AF62" s="59"/>
      <c r="AG62" s="59"/>
      <c r="AH62" s="59"/>
      <c r="AI62" s="59"/>
      <c r="AJ62" s="59"/>
    </row>
    <row r="63" spans="2:36" s="57" customFormat="1" x14ac:dyDescent="0.25">
      <c r="F63" s="58"/>
      <c r="G63" s="58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</row>
    <row r="64" spans="2:36" s="57" customFormat="1" x14ac:dyDescent="0.25">
      <c r="F64" s="58"/>
      <c r="G64" s="58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</row>
    <row r="65" spans="6:36" s="57" customFormat="1" x14ac:dyDescent="0.25">
      <c r="F65" s="58"/>
      <c r="G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</row>
    <row r="66" spans="6:36" s="57" customFormat="1" x14ac:dyDescent="0.25">
      <c r="F66" s="58"/>
      <c r="G66" s="58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</row>
    <row r="67" spans="6:36" s="57" customFormat="1" x14ac:dyDescent="0.25">
      <c r="F67" s="58"/>
      <c r="G67" s="58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</row>
    <row r="68" spans="6:36" s="57" customFormat="1" x14ac:dyDescent="0.25">
      <c r="F68" s="58"/>
      <c r="G68" s="58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</row>
    <row r="69" spans="6:36" s="57" customFormat="1" x14ac:dyDescent="0.25">
      <c r="F69" s="58"/>
      <c r="G69" s="58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</row>
    <row r="70" spans="6:36" s="57" customFormat="1" x14ac:dyDescent="0.25">
      <c r="F70" s="58"/>
      <c r="G70" s="58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</row>
    <row r="71" spans="6:36" s="57" customFormat="1" x14ac:dyDescent="0.25">
      <c r="F71" s="58"/>
      <c r="G71" s="58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</row>
    <row r="72" spans="6:36" s="57" customFormat="1" x14ac:dyDescent="0.25">
      <c r="F72" s="58"/>
      <c r="G72" s="58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</row>
    <row r="73" spans="6:36" s="57" customFormat="1" x14ac:dyDescent="0.25">
      <c r="F73" s="58"/>
      <c r="G73" s="58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</row>
    <row r="74" spans="6:36" s="57" customFormat="1" x14ac:dyDescent="0.25">
      <c r="F74" s="58"/>
      <c r="G74" s="58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</row>
    <row r="75" spans="6:36" s="57" customFormat="1" x14ac:dyDescent="0.25">
      <c r="F75" s="58"/>
      <c r="G75" s="58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</row>
    <row r="76" spans="6:36" s="57" customFormat="1" x14ac:dyDescent="0.25">
      <c r="F76" s="58"/>
      <c r="G76" s="58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</row>
    <row r="77" spans="6:36" s="57" customFormat="1" x14ac:dyDescent="0.25">
      <c r="F77" s="58"/>
      <c r="G77" s="58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</row>
    <row r="78" spans="6:36" x14ac:dyDescent="0.25"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6:36" x14ac:dyDescent="0.25"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6:36" x14ac:dyDescent="0.25"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1:22" x14ac:dyDescent="0.25"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1:22" x14ac:dyDescent="0.25"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1:22" x14ac:dyDescent="0.25"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</row>
  </sheetData>
  <sheetProtection algorithmName="SHA-512" hashValue="2swzV85cFHfmzSltpTFx2R8b8XLqo8o6e8fYC077mSbS+qmLwmYUAmNqcz7Pss+BlhXRCcDwx4rgQRdwx7+B2g==" saltValue="49y9qmY6sxaFh7AcqbG+5Q==" spinCount="100000" sheet="1" objects="1" scenarios="1" selectLockedCells="1"/>
  <dataConsolidate/>
  <mergeCells count="44">
    <mergeCell ref="B62:J62"/>
    <mergeCell ref="B49:E49"/>
    <mergeCell ref="B47:E47"/>
    <mergeCell ref="H47:J47"/>
    <mergeCell ref="B45:E45"/>
    <mergeCell ref="B51:E51"/>
    <mergeCell ref="B53:E53"/>
    <mergeCell ref="F53:G53"/>
    <mergeCell ref="F49:G49"/>
    <mergeCell ref="F10:G10"/>
    <mergeCell ref="F28:G28"/>
    <mergeCell ref="F51:G51"/>
    <mergeCell ref="F47:G47"/>
    <mergeCell ref="F23:G23"/>
    <mergeCell ref="F45:G45"/>
    <mergeCell ref="F43:G43"/>
    <mergeCell ref="F41:G41"/>
    <mergeCell ref="F39:G39"/>
    <mergeCell ref="F17:G17"/>
    <mergeCell ref="F37:G37"/>
    <mergeCell ref="F19:G19"/>
    <mergeCell ref="B10:E10"/>
    <mergeCell ref="B39:E39"/>
    <mergeCell ref="B41:E41"/>
    <mergeCell ref="B12:E12"/>
    <mergeCell ref="B43:E43"/>
    <mergeCell ref="B28:E28"/>
    <mergeCell ref="B17:E17"/>
    <mergeCell ref="B37:E37"/>
    <mergeCell ref="B19:E19"/>
    <mergeCell ref="B30:E30"/>
    <mergeCell ref="H12:J16"/>
    <mergeCell ref="B35:E35"/>
    <mergeCell ref="F35:G35"/>
    <mergeCell ref="F12:G12"/>
    <mergeCell ref="B23:E23"/>
    <mergeCell ref="B14:E14"/>
    <mergeCell ref="B15:E15"/>
    <mergeCell ref="F14:G14"/>
    <mergeCell ref="B20:E20"/>
    <mergeCell ref="B21:E21"/>
    <mergeCell ref="F20:G20"/>
    <mergeCell ref="F21:G21"/>
    <mergeCell ref="F30:G30"/>
  </mergeCells>
  <dataValidations count="13">
    <dataValidation type="custom" allowBlank="1" showInputMessage="1" showErrorMessage="1" sqref="F10" xr:uid="{00000000-0002-0000-0000-000000000000}">
      <formula1>F10</formula1>
    </dataValidation>
    <dataValidation showInputMessage="1" showErrorMessage="1" sqref="F23:G23 F21:G21" xr:uid="{00000000-0002-0000-0000-000001000000}"/>
    <dataValidation sqref="F41:G41" xr:uid="{00000000-0002-0000-0000-000002000000}"/>
    <dataValidation type="custom" allowBlank="1" showErrorMessage="1" error="Error" sqref="F34:G34" xr:uid="{00000000-0002-0000-0000-000003000000}">
      <formula1>"0;3%;4%"</formula1>
    </dataValidation>
    <dataValidation type="list" allowBlank="1" showInputMessage="1" showErrorMessage="1" sqref="F14:G14" xr:uid="{00000000-0002-0000-0000-000004000000}">
      <formula1>"Sí, No"</formula1>
    </dataValidation>
    <dataValidation type="whole" allowBlank="1" showInputMessage="1" showErrorMessage="1" error="El plazo debe ser como mínimo 60 meses y como máximo 300 meses" sqref="F47:G47" xr:uid="{00000000-0002-0000-0000-000005000000}">
      <formula1>60</formula1>
      <formula2>300</formula2>
    </dataValidation>
    <dataValidation showInputMessage="1" sqref="F19:G20" xr:uid="{00000000-0002-0000-0000-000006000000}"/>
    <dataValidation showInputMessage="1" showErrorMessage="1" error="Valor fuera del rango permitido" sqref="F18:G18" xr:uid="{00000000-0002-0000-0000-000007000000}"/>
    <dataValidation allowBlank="1" showInputMessage="1" sqref="F28" xr:uid="{00000000-0002-0000-0000-000008000000}"/>
    <dataValidation type="list" allowBlank="1" showInputMessage="1" sqref="F30:G30" xr:uid="{00000000-0002-0000-0000-000009000000}">
      <formula1>"Sí, No"</formula1>
    </dataValidation>
    <dataValidation type="custom" allowBlank="1" showInputMessage="1" showErrorMessage="1" error="&quot;Cuota fuera del rango&quot;_x000a_" sqref="F53:G53" xr:uid="{00000000-0002-0000-0000-00000A000000}">
      <formula1>N53</formula1>
    </dataValidation>
    <dataValidation type="custom" showErrorMessage="1" error="Valor fuera del rango permitido" sqref="F12:G13" xr:uid="{00000000-0002-0000-0000-00000B000000}">
      <formula1>K10</formula1>
    </dataValidation>
    <dataValidation type="custom" showInputMessage="1" showErrorMessage="1" error="Cuota Inicial fuera del rango" sqref="F17:G17" xr:uid="{00000000-0002-0000-0000-00000C000000}">
      <formula1>+IF(F23="Cuota fuera del rango","Cuota fuera del rango",IF(F12&lt;F17+F35,"Cuota fuera de rango",F17))</formula1>
    </dataValidation>
  </dataValidations>
  <pageMargins left="0.7" right="0.7" top="0.75" bottom="0.75" header="0.3" footer="0.3"/>
  <pageSetup paperSize="9" orientation="portrait" r:id="rId1"/>
  <ignoredErrors>
    <ignoredError sqref="G20 G21 G19" unlockedFormula="1"/>
    <ignoredError sqref="H3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736"/>
  <sheetViews>
    <sheetView showGridLines="0" topLeftCell="B1" workbookViewId="0">
      <selection activeCell="B9" sqref="B9"/>
    </sheetView>
  </sheetViews>
  <sheetFormatPr baseColWidth="10" defaultColWidth="11.42578125" defaultRowHeight="17.100000000000001" customHeight="1" x14ac:dyDescent="0.25"/>
  <cols>
    <col min="1" max="1" width="11.42578125" style="4"/>
    <col min="2" max="2" width="8" bestFit="1" customWidth="1"/>
    <col min="3" max="3" width="17.42578125" customWidth="1"/>
    <col min="4" max="4" width="15.42578125" customWidth="1"/>
    <col min="5" max="5" width="13" bestFit="1" customWidth="1"/>
    <col min="6" max="6" width="16.42578125" customWidth="1"/>
    <col min="7" max="7" width="18.85546875" customWidth="1"/>
    <col min="8" max="8" width="13.7109375" customWidth="1"/>
    <col min="9" max="9" width="17.140625" customWidth="1"/>
    <col min="10" max="10" width="5.7109375" style="14" customWidth="1"/>
    <col min="11" max="13" width="11.42578125" style="14"/>
    <col min="14" max="14" width="8.28515625" style="14" customWidth="1"/>
    <col min="15" max="15" width="10.5703125" style="14" customWidth="1"/>
    <col min="16" max="16384" width="11.42578125" style="14"/>
  </cols>
  <sheetData>
    <row r="1" spans="1:14" ht="24.75" customHeight="1" x14ac:dyDescent="0.25">
      <c r="A1" s="14"/>
      <c r="B1" s="4"/>
      <c r="C1" s="4"/>
      <c r="D1" s="55" t="str">
        <f>IF(Simulador!F39="","COMPLETAR SIMULADOR -&gt;",IF(Simulador!F47="","COMPLETAR SIMULADOR -&gt;",""))</f>
        <v>COMPLETAR SIMULADOR -&gt;</v>
      </c>
      <c r="E1" s="55"/>
      <c r="F1" s="55"/>
      <c r="G1" s="55"/>
      <c r="H1" s="55"/>
      <c r="I1" s="4"/>
    </row>
    <row r="2" spans="1:14" ht="15" customHeight="1" x14ac:dyDescent="0.25">
      <c r="A2" s="14"/>
      <c r="B2" s="4"/>
      <c r="C2" s="4"/>
      <c r="D2" s="55"/>
      <c r="E2" s="55"/>
      <c r="F2" s="55"/>
      <c r="G2" s="55"/>
      <c r="H2" s="55"/>
      <c r="I2" s="4"/>
    </row>
    <row r="3" spans="1:14" ht="15" customHeight="1" x14ac:dyDescent="0.25">
      <c r="A3" s="14"/>
      <c r="B3" s="4"/>
      <c r="C3" s="4"/>
      <c r="D3" s="55"/>
      <c r="E3" s="55"/>
      <c r="F3" s="55"/>
      <c r="G3" s="55"/>
      <c r="H3" s="55"/>
      <c r="I3" s="4"/>
    </row>
    <row r="4" spans="1:14" ht="16.5" customHeight="1" x14ac:dyDescent="0.25">
      <c r="A4" s="14"/>
      <c r="B4" s="4"/>
      <c r="C4" s="4"/>
      <c r="D4" s="4"/>
      <c r="E4" s="4"/>
      <c r="F4" s="4"/>
      <c r="G4" s="4"/>
      <c r="H4" s="4"/>
      <c r="I4" s="14"/>
    </row>
    <row r="5" spans="1:14" ht="4.5" customHeight="1" x14ac:dyDescent="0.25">
      <c r="A5" s="14"/>
      <c r="B5" s="4"/>
      <c r="C5" s="4"/>
      <c r="D5" s="14"/>
      <c r="E5" s="4"/>
      <c r="F5" s="4"/>
      <c r="G5" s="4"/>
      <c r="H5" s="14"/>
      <c r="I5" s="14"/>
      <c r="K5" s="20"/>
      <c r="L5" s="20"/>
      <c r="M5" s="20"/>
      <c r="N5" s="20"/>
    </row>
    <row r="6" spans="1:14" ht="15" hidden="1" x14ac:dyDescent="0.25">
      <c r="A6" s="14"/>
      <c r="B6" s="14"/>
      <c r="C6" s="14"/>
      <c r="D6" s="4"/>
      <c r="E6" s="4"/>
      <c r="F6" s="4"/>
      <c r="G6" s="4"/>
      <c r="H6" s="4"/>
      <c r="I6" s="14"/>
      <c r="K6" s="20"/>
      <c r="L6" s="20"/>
      <c r="M6" s="20"/>
      <c r="N6" s="20"/>
    </row>
    <row r="7" spans="1:14" ht="15" x14ac:dyDescent="0.25">
      <c r="A7" s="14"/>
      <c r="B7" s="14"/>
      <c r="C7" s="14"/>
      <c r="D7" s="4"/>
      <c r="E7" s="4"/>
      <c r="F7" s="4"/>
      <c r="G7" s="4"/>
      <c r="H7" s="4"/>
      <c r="I7" s="14"/>
    </row>
    <row r="8" spans="1:14" ht="25.5" customHeight="1" x14ac:dyDescent="0.25">
      <c r="A8" s="14"/>
      <c r="B8" s="5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7" t="s">
        <v>11</v>
      </c>
      <c r="I8" s="8" t="s">
        <v>12</v>
      </c>
      <c r="K8" s="56" t="str">
        <f>IF(Simulador!F53&lt;&gt;"","Consulta aquí a qué entidades financeras podrás solicitar tu crédito","")</f>
        <v/>
      </c>
      <c r="L8" s="56"/>
      <c r="M8" s="56"/>
      <c r="N8" s="56"/>
    </row>
    <row r="9" spans="1:14" ht="15" hidden="1" customHeight="1" x14ac:dyDescent="0.25">
      <c r="A9" s="14"/>
      <c r="B9" s="9">
        <v>0</v>
      </c>
      <c r="C9" s="12" t="str">
        <f>IF(Simulador!F37="Cuota fuera del rango","",Simulador!F37)</f>
        <v/>
      </c>
      <c r="D9" s="11"/>
      <c r="E9" s="11"/>
      <c r="F9" s="12"/>
      <c r="G9" s="11"/>
      <c r="H9" s="10"/>
      <c r="I9" s="11"/>
      <c r="K9" s="56"/>
      <c r="L9" s="56"/>
      <c r="M9" s="56"/>
      <c r="N9" s="56"/>
    </row>
    <row r="10" spans="1:14" ht="17.100000000000001" customHeight="1" x14ac:dyDescent="0.25">
      <c r="A10" s="14"/>
      <c r="B10" s="13" t="str">
        <f>IF(B9&lt;Simulador!$F$47,B9+1,"")</f>
        <v/>
      </c>
      <c r="C10" s="16" t="str">
        <f>IF(B9&lt;Simulador!$F$47,$C$9,"")</f>
        <v/>
      </c>
      <c r="D10" s="17" t="str">
        <f>IF(Tabla1[[#This Row],[Periodo]]="","",IF(B10&lt;=Simulador!$F$47,PPMT(Simulador!$F$41+Simulador!$F$43,Cronograma!B10,Simulador!$F$47,-Simulador!$F$37),""))</f>
        <v/>
      </c>
      <c r="E10" s="17" t="str">
        <f>IF(B9&lt;Simulador!$F$47,(IPMT(Simulador!$F$41+Simulador!$F$43,Tabla1[[#This Row],[Periodo]],Simulador!$F$47,-Simulador!$F$37)-Tabla1[[#This Row],[Seguro Desgravamen]]),"")</f>
        <v/>
      </c>
      <c r="F10" s="17" t="str">
        <f>IF(B9&lt;Simulador!$F$47,C10*Simulador!$F$43,"")</f>
        <v/>
      </c>
      <c r="G10" s="16" t="str">
        <f>IF(B9&lt;Simulador!$F$47,Simulador!$F$45*Simulador!$F$12/12,"")</f>
        <v/>
      </c>
      <c r="H10" s="17" t="str">
        <f>IF(B9&lt;Simulador!$F$47,C10-D10,"")</f>
        <v/>
      </c>
      <c r="I10" s="17" t="str">
        <f>IF(B9&lt;Simulador!$F$47,PMT(Simulador!$F$41+Simulador!$F$43,Simulador!$F$47,-Simulador!$F$37)+G10,"")</f>
        <v/>
      </c>
      <c r="K10" s="56"/>
      <c r="L10" s="56"/>
      <c r="M10" s="56"/>
      <c r="N10" s="56"/>
    </row>
    <row r="11" spans="1:14" ht="17.100000000000001" customHeight="1" x14ac:dyDescent="0.25">
      <c r="A11" s="14"/>
      <c r="B11" s="13" t="str">
        <f>IF(B10&lt;Simulador!$F$47,B10+1,"")</f>
        <v/>
      </c>
      <c r="C11" s="16" t="str">
        <f>IF(B10&lt;Simulador!$F$47,H10,"")</f>
        <v/>
      </c>
      <c r="D11" s="17" t="str">
        <f>IF(Tabla1[[#This Row],[Periodo]]="","",IF(B11&lt;=Simulador!$F$47,PPMT(Simulador!$F$41+Simulador!$F$43,Cronograma!B11,Simulador!$F$47,-Simulador!$F$37),""))</f>
        <v/>
      </c>
      <c r="E11" s="17" t="str">
        <f>IF(B10&lt;Simulador!$F$47,(IPMT(Simulador!$F$41+Simulador!$F$43,Tabla1[[#This Row],[Periodo]],Simulador!$F$47,-Simulador!$F$37)-Tabla1[[#This Row],[Seguro Desgravamen]]),"")</f>
        <v/>
      </c>
      <c r="F11" s="17" t="str">
        <f>IF(B10&lt;Simulador!$F$47,C11*Simulador!$F$43,"")</f>
        <v/>
      </c>
      <c r="G11" s="16" t="str">
        <f>IF(B10&lt;Simulador!$F$47,Simulador!$F$45*Simulador!$F$12/12,"")</f>
        <v/>
      </c>
      <c r="H11" s="17" t="str">
        <f>IF(B10&lt;Simulador!$F$47,C11-D11,"")</f>
        <v/>
      </c>
      <c r="I11" s="17" t="str">
        <f>IF(B10&lt;Simulador!$F$47,PMT(Simulador!$F$41+Simulador!$F$43,Simulador!$F$47,-Simulador!$F$37)+G11,"")</f>
        <v/>
      </c>
      <c r="K11" s="56"/>
      <c r="L11" s="56"/>
      <c r="M11" s="56"/>
      <c r="N11" s="56"/>
    </row>
    <row r="12" spans="1:14" ht="17.100000000000001" customHeight="1" x14ac:dyDescent="0.25">
      <c r="A12" s="14"/>
      <c r="B12" s="13" t="str">
        <f>IF(B11&lt;Simulador!$F$47,B11+1,"")</f>
        <v/>
      </c>
      <c r="C12" s="16" t="str">
        <f>IF(B11&lt;Simulador!$F$47,H11,"")</f>
        <v/>
      </c>
      <c r="D12" s="17" t="str">
        <f>IF(Tabla1[[#This Row],[Periodo]]="","",IF(B12&lt;=Simulador!$F$47,PPMT(Simulador!$F$41+Simulador!$F$43,Cronograma!B12,Simulador!$F$47,-Simulador!$F$37),""))</f>
        <v/>
      </c>
      <c r="E12" s="17" t="str">
        <f>IF(B11&lt;Simulador!$F$47,(IPMT(Simulador!$F$41+Simulador!$F$43,Tabla1[[#This Row],[Periodo]],Simulador!$F$47,-Simulador!$F$37)-Tabla1[[#This Row],[Seguro Desgravamen]]),"")</f>
        <v/>
      </c>
      <c r="F12" s="17" t="str">
        <f>IF(B11&lt;Simulador!$F$47,C12*Simulador!$F$43,"")</f>
        <v/>
      </c>
      <c r="G12" s="16" t="str">
        <f>IF(B11&lt;Simulador!$F$47,Simulador!$F$45*Simulador!$F$12/12,"")</f>
        <v/>
      </c>
      <c r="H12" s="17" t="str">
        <f>IF(B11&lt;Simulador!$F$47,C12-D12,"")</f>
        <v/>
      </c>
      <c r="I12" s="17" t="str">
        <f>IF(B11&lt;Simulador!$F$47,PMT(Simulador!$F$41+Simulador!$F$43,Simulador!$F$47,-Simulador!$F$37)+G12,"")</f>
        <v/>
      </c>
    </row>
    <row r="13" spans="1:14" ht="17.100000000000001" customHeight="1" x14ac:dyDescent="0.25">
      <c r="A13" s="14"/>
      <c r="B13" s="13" t="str">
        <f>IF(B12&lt;Simulador!$F$47,B12+1,"")</f>
        <v/>
      </c>
      <c r="C13" s="16" t="str">
        <f>IF(B12&lt;Simulador!$F$47,H12,"")</f>
        <v/>
      </c>
      <c r="D13" s="17" t="str">
        <f>IF(Tabla1[[#This Row],[Periodo]]="","",IF(B13&lt;=Simulador!$F$47,PPMT(Simulador!$F$41+Simulador!$F$43,Cronograma!B13,Simulador!$F$47,-Simulador!$F$37),""))</f>
        <v/>
      </c>
      <c r="E13" s="17" t="str">
        <f>IF(B12&lt;Simulador!$F$47,(IPMT(Simulador!$F$41+Simulador!$F$43,Tabla1[[#This Row],[Periodo]],Simulador!$F$47,-Simulador!$F$37)-Tabla1[[#This Row],[Seguro Desgravamen]]),"")</f>
        <v/>
      </c>
      <c r="F13" s="17" t="str">
        <f>IF(B12&lt;Simulador!$F$47,C13*Simulador!$F$43,"")</f>
        <v/>
      </c>
      <c r="G13" s="16" t="str">
        <f>IF(B12&lt;Simulador!$F$47,Simulador!$F$45*Simulador!$F$12/12,"")</f>
        <v/>
      </c>
      <c r="H13" s="17" t="str">
        <f>IF(B12&lt;Simulador!$F$47,C13-D13,"")</f>
        <v/>
      </c>
      <c r="I13" s="17" t="str">
        <f>IF(B12&lt;Simulador!$F$47,PMT(Simulador!$F$41+Simulador!$F$43,Simulador!$F$47,-Simulador!$F$37)+G13,"")</f>
        <v/>
      </c>
    </row>
    <row r="14" spans="1:14" ht="17.100000000000001" customHeight="1" x14ac:dyDescent="0.25">
      <c r="A14" s="14"/>
      <c r="B14" s="13" t="str">
        <f>IF(B13&lt;Simulador!$F$47,B13+1,"")</f>
        <v/>
      </c>
      <c r="C14" s="16" t="str">
        <f>IF(B13&lt;Simulador!$F$47,H13,"")</f>
        <v/>
      </c>
      <c r="D14" s="17" t="str">
        <f>IF(Tabla1[[#This Row],[Periodo]]="","",IF(B14&lt;=Simulador!$F$47,PPMT(Simulador!$F$41+Simulador!$F$43,Cronograma!B14,Simulador!$F$47,-Simulador!$F$37),""))</f>
        <v/>
      </c>
      <c r="E14" s="17" t="str">
        <f>IF(B13&lt;Simulador!$F$47,(IPMT(Simulador!$F$41+Simulador!$F$43,Tabla1[[#This Row],[Periodo]],Simulador!$F$47,-Simulador!$F$37)-Tabla1[[#This Row],[Seguro Desgravamen]]),"")</f>
        <v/>
      </c>
      <c r="F14" s="17" t="str">
        <f>IF(B13&lt;Simulador!$F$47,C14*Simulador!$F$43,"")</f>
        <v/>
      </c>
      <c r="G14" s="16" t="str">
        <f>IF(B13&lt;Simulador!$F$47,Simulador!$F$45*Simulador!$F$12/12,"")</f>
        <v/>
      </c>
      <c r="H14" s="17" t="str">
        <f>IF(B13&lt;Simulador!$F$47,C14-D14,"")</f>
        <v/>
      </c>
      <c r="I14" s="17" t="str">
        <f>IF(B13&lt;Simulador!$F$47,PMT(Simulador!$F$41+Simulador!$F$43,Simulador!$F$47,-Simulador!$F$37)+G14,"")</f>
        <v/>
      </c>
    </row>
    <row r="15" spans="1:14" ht="17.100000000000001" customHeight="1" x14ac:dyDescent="0.25">
      <c r="A15" s="14"/>
      <c r="B15" s="13" t="str">
        <f>IF(B14&lt;Simulador!$F$47,B14+1,"")</f>
        <v/>
      </c>
      <c r="C15" s="16" t="str">
        <f>IF(B14&lt;Simulador!$F$47,H14,"")</f>
        <v/>
      </c>
      <c r="D15" s="17" t="str">
        <f>IF(Tabla1[[#This Row],[Periodo]]="","",IF(B15&lt;=Simulador!$F$47,PPMT(Simulador!$F$41+Simulador!$F$43,Cronograma!B15,Simulador!$F$47,-Simulador!$F$37),""))</f>
        <v/>
      </c>
      <c r="E15" s="17" t="str">
        <f>IF(B14&lt;Simulador!$F$47,(IPMT(Simulador!$F$41+Simulador!$F$43,Tabla1[[#This Row],[Periodo]],Simulador!$F$47,-Simulador!$F$37)-Tabla1[[#This Row],[Seguro Desgravamen]]),"")</f>
        <v/>
      </c>
      <c r="F15" s="17" t="str">
        <f>IF(B14&lt;Simulador!$F$47,C15*Simulador!$F$43,"")</f>
        <v/>
      </c>
      <c r="G15" s="16" t="str">
        <f>IF(B14&lt;Simulador!$F$47,Simulador!$F$45*Simulador!$F$12/12,"")</f>
        <v/>
      </c>
      <c r="H15" s="17" t="str">
        <f>IF(B14&lt;Simulador!$F$47,C15-D15,"")</f>
        <v/>
      </c>
      <c r="I15" s="17" t="str">
        <f>IF(B14&lt;Simulador!$F$47,PMT(Simulador!$F$41+Simulador!$F$43,Simulador!$F$47,-Simulador!$F$37)+G15,"")</f>
        <v/>
      </c>
    </row>
    <row r="16" spans="1:14" ht="17.100000000000001" customHeight="1" x14ac:dyDescent="0.25">
      <c r="A16" s="14"/>
      <c r="B16" s="13" t="str">
        <f>IF(B15&lt;Simulador!$F$47,B15+1,"")</f>
        <v/>
      </c>
      <c r="C16" s="16" t="str">
        <f>IF(B15&lt;Simulador!$F$47,H15,"")</f>
        <v/>
      </c>
      <c r="D16" s="17" t="str">
        <f>IF(Tabla1[[#This Row],[Periodo]]="","",IF(B16&lt;=Simulador!$F$47,PPMT(Simulador!$F$41+Simulador!$F$43,Cronograma!B16,Simulador!$F$47,-Simulador!$F$37),""))</f>
        <v/>
      </c>
      <c r="E16" s="17" t="str">
        <f>IF(B15&lt;Simulador!$F$47,(IPMT(Simulador!$F$41+Simulador!$F$43,Tabla1[[#This Row],[Periodo]],Simulador!$F$47,-Simulador!$F$37)-Tabla1[[#This Row],[Seguro Desgravamen]]),"")</f>
        <v/>
      </c>
      <c r="F16" s="17" t="str">
        <f>IF(B15&lt;Simulador!$F$47,C16*Simulador!$F$43,"")</f>
        <v/>
      </c>
      <c r="G16" s="16" t="str">
        <f>IF(B15&lt;Simulador!$F$47,Simulador!$F$45*Simulador!$F$12/12,"")</f>
        <v/>
      </c>
      <c r="H16" s="17" t="str">
        <f>IF(B15&lt;Simulador!$F$47,C16-D16,"")</f>
        <v/>
      </c>
      <c r="I16" s="17" t="str">
        <f>IF(B15&lt;Simulador!$F$47,PMT(Simulador!$F$41+Simulador!$F$43,Simulador!$F$47,-Simulador!$F$37)+G16,"")</f>
        <v/>
      </c>
    </row>
    <row r="17" spans="1:15" ht="17.100000000000001" customHeight="1" x14ac:dyDescent="0.25">
      <c r="A17" s="14"/>
      <c r="B17" s="13" t="str">
        <f>IF(B16&lt;Simulador!$F$47,B16+1,"")</f>
        <v/>
      </c>
      <c r="C17" s="16" t="str">
        <f>IF(B16&lt;Simulador!$F$47,H16,"")</f>
        <v/>
      </c>
      <c r="D17" s="17" t="str">
        <f>IF(Tabla1[[#This Row],[Periodo]]="","",IF(B17&lt;=Simulador!$F$47,PPMT(Simulador!$F$41+Simulador!$F$43,Cronograma!B17,Simulador!$F$47,-Simulador!$F$37),""))</f>
        <v/>
      </c>
      <c r="E17" s="17" t="str">
        <f>IF(B16&lt;Simulador!$F$47,(IPMT(Simulador!$F$41+Simulador!$F$43,Tabla1[[#This Row],[Periodo]],Simulador!$F$47,-Simulador!$F$37)-Tabla1[[#This Row],[Seguro Desgravamen]]),"")</f>
        <v/>
      </c>
      <c r="F17" s="17" t="str">
        <f>IF(B16&lt;Simulador!$F$47,C17*Simulador!$F$43,"")</f>
        <v/>
      </c>
      <c r="G17" s="16" t="str">
        <f>IF(B16&lt;Simulador!$F$47,Simulador!$F$45*Simulador!$F$12/12,"")</f>
        <v/>
      </c>
      <c r="H17" s="17" t="str">
        <f>IF(B16&lt;Simulador!$F$47,C17-D17,"")</f>
        <v/>
      </c>
      <c r="I17" s="17" t="str">
        <f>IF(B16&lt;Simulador!$F$47,PMT(Simulador!$F$41+Simulador!$F$43,Simulador!$F$47,-Simulador!$F$37)+G17,"")</f>
        <v/>
      </c>
    </row>
    <row r="18" spans="1:15" ht="17.100000000000001" customHeight="1" x14ac:dyDescent="0.25">
      <c r="A18" s="14"/>
      <c r="B18" s="13" t="str">
        <f>IF(B17&lt;Simulador!$F$47,B17+1,"")</f>
        <v/>
      </c>
      <c r="C18" s="16" t="str">
        <f>IF(B17&lt;Simulador!$F$47,H17,"")</f>
        <v/>
      </c>
      <c r="D18" s="17" t="str">
        <f>IF(Tabla1[[#This Row],[Periodo]]="","",IF(B18&lt;=Simulador!$F$47,PPMT(Simulador!$F$41+Simulador!$F$43,Cronograma!B18,Simulador!$F$47,-Simulador!$F$37),""))</f>
        <v/>
      </c>
      <c r="E18" s="17" t="str">
        <f>IF(B17&lt;Simulador!$F$47,(IPMT(Simulador!$F$41+Simulador!$F$43,Tabla1[[#This Row],[Periodo]],Simulador!$F$47,-Simulador!$F$37)-Tabla1[[#This Row],[Seguro Desgravamen]]),"")</f>
        <v/>
      </c>
      <c r="F18" s="17" t="str">
        <f>IF(B17&lt;Simulador!$F$47,C18*Simulador!$F$43,"")</f>
        <v/>
      </c>
      <c r="G18" s="16" t="str">
        <f>IF(B17&lt;Simulador!$F$47,Simulador!$F$45*Simulador!$F$12/12,"")</f>
        <v/>
      </c>
      <c r="H18" s="17" t="str">
        <f>IF(B17&lt;Simulador!$F$47,C18-D18,"")</f>
        <v/>
      </c>
      <c r="I18" s="17" t="str">
        <f>IF(B17&lt;Simulador!$F$47,PMT(Simulador!$F$41+Simulador!$F$43,Simulador!$F$47,-Simulador!$F$37)+G18,"")</f>
        <v/>
      </c>
    </row>
    <row r="19" spans="1:15" ht="17.100000000000001" customHeight="1" x14ac:dyDescent="0.25">
      <c r="A19" s="14"/>
      <c r="B19" s="13" t="str">
        <f>IF(B18&lt;Simulador!$F$47,B18+1,"")</f>
        <v/>
      </c>
      <c r="C19" s="16" t="str">
        <f>IF(B18&lt;Simulador!$F$47,H18,"")</f>
        <v/>
      </c>
      <c r="D19" s="17" t="str">
        <f>IF(Tabla1[[#This Row],[Periodo]]="","",IF(B19&lt;=Simulador!$F$47,PPMT(Simulador!$F$41+Simulador!$F$43,Cronograma!B19,Simulador!$F$47,-Simulador!$F$37),""))</f>
        <v/>
      </c>
      <c r="E19" s="17" t="str">
        <f>IF(B18&lt;Simulador!$F$47,(IPMT(Simulador!$F$41+Simulador!$F$43,Tabla1[[#This Row],[Periodo]],Simulador!$F$47,-Simulador!$F$37)-Tabla1[[#This Row],[Seguro Desgravamen]]),"")</f>
        <v/>
      </c>
      <c r="F19" s="17" t="str">
        <f>IF(B18&lt;Simulador!$F$47,C19*Simulador!$F$43,"")</f>
        <v/>
      </c>
      <c r="G19" s="16" t="str">
        <f>IF(B18&lt;Simulador!$F$47,Simulador!$F$45*Simulador!$F$12/12,"")</f>
        <v/>
      </c>
      <c r="H19" s="17" t="str">
        <f>IF(B18&lt;Simulador!$F$47,C19-D19,"")</f>
        <v/>
      </c>
      <c r="I19" s="17" t="str">
        <f>IF(B18&lt;Simulador!$F$47,PMT(Simulador!$F$41+Simulador!$F$43,Simulador!$F$47,-Simulador!$F$37)+G19,"")</f>
        <v/>
      </c>
    </row>
    <row r="20" spans="1:15" ht="17.100000000000001" customHeight="1" x14ac:dyDescent="0.25">
      <c r="A20" s="14"/>
      <c r="B20" s="13" t="str">
        <f>IF(B19&lt;Simulador!$F$47,B19+1,"")</f>
        <v/>
      </c>
      <c r="C20" s="16" t="str">
        <f>IF(B19&lt;Simulador!$F$47,H19,"")</f>
        <v/>
      </c>
      <c r="D20" s="17" t="str">
        <f>IF(Tabla1[[#This Row],[Periodo]]="","",IF(B20&lt;=Simulador!$F$47,PPMT(Simulador!$F$41+Simulador!$F$43,Cronograma!B20,Simulador!$F$47,-Simulador!$F$37),""))</f>
        <v/>
      </c>
      <c r="E20" s="17" t="str">
        <f>IF(B19&lt;Simulador!$F$47,(IPMT(Simulador!$F$41+Simulador!$F$43,Tabla1[[#This Row],[Periodo]],Simulador!$F$47,-Simulador!$F$37)-Tabla1[[#This Row],[Seguro Desgravamen]]),"")</f>
        <v/>
      </c>
      <c r="F20" s="17" t="str">
        <f>IF(B19&lt;Simulador!$F$47,C20*Simulador!$F$43,"")</f>
        <v/>
      </c>
      <c r="G20" s="16" t="str">
        <f>IF(B19&lt;Simulador!$F$47,Simulador!$F$45*Simulador!$F$12/12,"")</f>
        <v/>
      </c>
      <c r="H20" s="17" t="str">
        <f>IF(B19&lt;Simulador!$F$47,C20-D20,"")</f>
        <v/>
      </c>
      <c r="I20" s="17" t="str">
        <f>IF(B19&lt;Simulador!$F$47,PMT(Simulador!$F$41+Simulador!$F$43,Simulador!$F$47,-Simulador!$F$37)+G20,"")</f>
        <v/>
      </c>
    </row>
    <row r="21" spans="1:15" ht="17.100000000000001" customHeight="1" x14ac:dyDescent="0.25">
      <c r="A21" s="14"/>
      <c r="B21" s="13" t="str">
        <f>IF(B20&lt;Simulador!$F$47,B20+1,"")</f>
        <v/>
      </c>
      <c r="C21" s="16" t="str">
        <f>IF(B20&lt;Simulador!$F$47,H20,"")</f>
        <v/>
      </c>
      <c r="D21" s="17" t="str">
        <f>IF(Tabla1[[#This Row],[Periodo]]="","",IF(B21&lt;=Simulador!$F$47,PPMT(Simulador!$F$41+Simulador!$F$43,Cronograma!B21,Simulador!$F$47,-Simulador!$F$37),""))</f>
        <v/>
      </c>
      <c r="E21" s="17" t="str">
        <f>IF(B20&lt;Simulador!$F$47,(IPMT(Simulador!$F$41+Simulador!$F$43,Tabla1[[#This Row],[Periodo]],Simulador!$F$47,-Simulador!$F$37)-Tabla1[[#This Row],[Seguro Desgravamen]]),"")</f>
        <v/>
      </c>
      <c r="F21" s="17" t="str">
        <f>IF(B20&lt;Simulador!$F$47,C21*Simulador!$F$43,"")</f>
        <v/>
      </c>
      <c r="G21" s="16" t="str">
        <f>IF(B20&lt;Simulador!$F$47,Simulador!$F$45*Simulador!$F$12/12,"")</f>
        <v/>
      </c>
      <c r="H21" s="17" t="str">
        <f>IF(B20&lt;Simulador!$F$47,C21-D21,"")</f>
        <v/>
      </c>
      <c r="I21" s="17" t="str">
        <f>IF(B20&lt;Simulador!$F$47,PMT(Simulador!$F$41+Simulador!$F$43,Simulador!$F$47,-Simulador!$F$37)+G21,"")</f>
        <v/>
      </c>
    </row>
    <row r="22" spans="1:15" ht="17.100000000000001" customHeight="1" x14ac:dyDescent="0.25">
      <c r="A22" s="14"/>
      <c r="B22" s="13" t="str">
        <f>IF(B21&lt;Simulador!$F$47,B21+1,"")</f>
        <v/>
      </c>
      <c r="C22" s="16" t="str">
        <f>IF(B21&lt;Simulador!$F$47,H21,"")</f>
        <v/>
      </c>
      <c r="D22" s="17" t="str">
        <f>IF(Tabla1[[#This Row],[Periodo]]="","",IF(B22&lt;=Simulador!$F$47,PPMT(Simulador!$F$41+Simulador!$F$43,Cronograma!B22,Simulador!$F$47,-Simulador!$F$37),""))</f>
        <v/>
      </c>
      <c r="E22" s="17" t="str">
        <f>IF(B21&lt;Simulador!$F$47,(IPMT(Simulador!$F$41+Simulador!$F$43,Tabla1[[#This Row],[Periodo]],Simulador!$F$47,-Simulador!$F$37)-Tabla1[[#This Row],[Seguro Desgravamen]]),"")</f>
        <v/>
      </c>
      <c r="F22" s="17" t="str">
        <f>IF(B21&lt;Simulador!$F$47,C22*Simulador!$F$43,"")</f>
        <v/>
      </c>
      <c r="G22" s="16" t="str">
        <f>IF(B21&lt;Simulador!$F$47,Simulador!$F$45*Simulador!$F$12/12,"")</f>
        <v/>
      </c>
      <c r="H22" s="17" t="str">
        <f>IF(B21&lt;Simulador!$F$47,C22-D22,"")</f>
        <v/>
      </c>
      <c r="I22" s="17" t="str">
        <f>IF(B21&lt;Simulador!$F$47,PMT(Simulador!$F$41+Simulador!$F$43,Simulador!$F$47,-Simulador!$F$37)+G22,"")</f>
        <v/>
      </c>
    </row>
    <row r="23" spans="1:15" ht="17.100000000000001" customHeight="1" x14ac:dyDescent="0.25">
      <c r="A23" s="14"/>
      <c r="B23" s="13" t="str">
        <f>IF(B22&lt;Simulador!$F$47,B22+1,"")</f>
        <v/>
      </c>
      <c r="C23" s="16" t="str">
        <f>IF(B22&lt;Simulador!$F$47,H22,"")</f>
        <v/>
      </c>
      <c r="D23" s="17" t="str">
        <f>IF(Tabla1[[#This Row],[Periodo]]="","",IF(B23&lt;=Simulador!$F$47,PPMT(Simulador!$F$41+Simulador!$F$43,Cronograma!B23,Simulador!$F$47,-Simulador!$F$37),""))</f>
        <v/>
      </c>
      <c r="E23" s="17" t="str">
        <f>IF(B22&lt;Simulador!$F$47,(IPMT(Simulador!$F$41+Simulador!$F$43,Tabla1[[#This Row],[Periodo]],Simulador!$F$47,-Simulador!$F$37)-Tabla1[[#This Row],[Seguro Desgravamen]]),"")</f>
        <v/>
      </c>
      <c r="F23" s="17" t="str">
        <f>IF(B22&lt;Simulador!$F$47,C23*Simulador!$F$43,"")</f>
        <v/>
      </c>
      <c r="G23" s="16" t="str">
        <f>IF(B22&lt;Simulador!$F$47,Simulador!$F$45*Simulador!$F$12/12,"")</f>
        <v/>
      </c>
      <c r="H23" s="17" t="str">
        <f>IF(B22&lt;Simulador!$F$47,C23-D23,"")</f>
        <v/>
      </c>
      <c r="I23" s="17" t="str">
        <f>IF(B22&lt;Simulador!$F$47,PMT(Simulador!$F$41+Simulador!$F$43,Simulador!$F$47,-Simulador!$F$37)+G23,"")</f>
        <v/>
      </c>
    </row>
    <row r="24" spans="1:15" ht="17.100000000000001" customHeight="1" x14ac:dyDescent="0.25">
      <c r="A24" s="14"/>
      <c r="B24" s="13" t="str">
        <f>IF(B23&lt;Simulador!$F$47,B23+1,"")</f>
        <v/>
      </c>
      <c r="C24" s="16" t="str">
        <f>IF(B23&lt;Simulador!$F$47,H23,"")</f>
        <v/>
      </c>
      <c r="D24" s="17" t="str">
        <f>IF(Tabla1[[#This Row],[Periodo]]="","",IF(B24&lt;=Simulador!$F$47,PPMT(Simulador!$F$41+Simulador!$F$43,Cronograma!B24,Simulador!$F$47,-Simulador!$F$37),""))</f>
        <v/>
      </c>
      <c r="E24" s="17" t="str">
        <f>IF(B23&lt;Simulador!$F$47,(IPMT(Simulador!$F$41+Simulador!$F$43,Tabla1[[#This Row],[Periodo]],Simulador!$F$47,-Simulador!$F$37)-Tabla1[[#This Row],[Seguro Desgravamen]]),"")</f>
        <v/>
      </c>
      <c r="F24" s="17" t="str">
        <f>IF(B23&lt;Simulador!$F$47,C24*Simulador!$F$43,"")</f>
        <v/>
      </c>
      <c r="G24" s="16" t="str">
        <f>IF(B23&lt;Simulador!$F$47,Simulador!$F$45*Simulador!$F$12/12,"")</f>
        <v/>
      </c>
      <c r="H24" s="17" t="str">
        <f>IF(B23&lt;Simulador!$F$47,C24-D24,"")</f>
        <v/>
      </c>
      <c r="I24" s="17" t="str">
        <f>IF(B23&lt;Simulador!$F$47,PMT(Simulador!$F$41+Simulador!$F$43,Simulador!$F$47,-Simulador!$F$37)+G24,"")</f>
        <v/>
      </c>
    </row>
    <row r="25" spans="1:15" ht="17.100000000000001" customHeight="1" x14ac:dyDescent="0.25">
      <c r="A25" s="14"/>
      <c r="B25" s="13" t="str">
        <f>IF(B24&lt;Simulador!$F$47,B24+1,"")</f>
        <v/>
      </c>
      <c r="C25" s="16" t="str">
        <f>IF(B24&lt;Simulador!$F$47,H24,"")</f>
        <v/>
      </c>
      <c r="D25" s="17" t="str">
        <f>IF(Tabla1[[#This Row],[Periodo]]="","",IF(B25&lt;=Simulador!$F$47,PPMT(Simulador!$F$41+Simulador!$F$43,Cronograma!B25,Simulador!$F$47,-Simulador!$F$37),""))</f>
        <v/>
      </c>
      <c r="E25" s="17" t="str">
        <f>IF(B24&lt;Simulador!$F$47,(IPMT(Simulador!$F$41+Simulador!$F$43,Tabla1[[#This Row],[Periodo]],Simulador!$F$47,-Simulador!$F$37)-Tabla1[[#This Row],[Seguro Desgravamen]]),"")</f>
        <v/>
      </c>
      <c r="F25" s="17" t="str">
        <f>IF(B24&lt;Simulador!$F$47,C25*Simulador!$F$43,"")</f>
        <v/>
      </c>
      <c r="G25" s="16" t="str">
        <f>IF(B24&lt;Simulador!$F$47,Simulador!$F$45*Simulador!$F$12/12,"")</f>
        <v/>
      </c>
      <c r="H25" s="17" t="str">
        <f>IF(B24&lt;Simulador!$F$47,C25-D25,"")</f>
        <v/>
      </c>
      <c r="I25" s="17" t="str">
        <f>IF(B24&lt;Simulador!$F$47,PMT(Simulador!$F$41+Simulador!$F$43,Simulador!$F$47,-Simulador!$F$37)+G25,"")</f>
        <v/>
      </c>
    </row>
    <row r="26" spans="1:15" ht="17.100000000000001" customHeight="1" x14ac:dyDescent="0.25">
      <c r="A26" s="14"/>
      <c r="B26" s="13" t="str">
        <f>IF(B25&lt;Simulador!$F$47,B25+1,"")</f>
        <v/>
      </c>
      <c r="C26" s="16" t="str">
        <f>IF(B25&lt;Simulador!$F$47,H25,"")</f>
        <v/>
      </c>
      <c r="D26" s="17" t="str">
        <f>IF(Tabla1[[#This Row],[Periodo]]="","",IF(B26&lt;=Simulador!$F$47,PPMT(Simulador!$F$41+Simulador!$F$43,Cronograma!B26,Simulador!$F$47,-Simulador!$F$37),""))</f>
        <v/>
      </c>
      <c r="E26" s="17" t="str">
        <f>IF(B25&lt;Simulador!$F$47,(IPMT(Simulador!$F$41+Simulador!$F$43,Tabla1[[#This Row],[Periodo]],Simulador!$F$47,-Simulador!$F$37)-Tabla1[[#This Row],[Seguro Desgravamen]]),"")</f>
        <v/>
      </c>
      <c r="F26" s="17" t="str">
        <f>IF(B25&lt;Simulador!$F$47,C26*Simulador!$F$43,"")</f>
        <v/>
      </c>
      <c r="G26" s="16" t="str">
        <f>IF(B25&lt;Simulador!$F$47,Simulador!$F$45*Simulador!$F$12/12,"")</f>
        <v/>
      </c>
      <c r="H26" s="17" t="str">
        <f>IF(B25&lt;Simulador!$F$47,C26-D26,"")</f>
        <v/>
      </c>
      <c r="I26" s="17" t="str">
        <f>IF(B25&lt;Simulador!$F$47,PMT(Simulador!$F$41+Simulador!$F$43,Simulador!$F$47,-Simulador!$F$37)+G26,"")</f>
        <v/>
      </c>
    </row>
    <row r="27" spans="1:15" ht="17.100000000000001" customHeight="1" x14ac:dyDescent="0.25">
      <c r="A27" s="14"/>
      <c r="B27" s="13" t="str">
        <f>IF(B26&lt;Simulador!$F$47,B26+1,"")</f>
        <v/>
      </c>
      <c r="C27" s="16" t="str">
        <f>IF(B26&lt;Simulador!$F$47,H26,"")</f>
        <v/>
      </c>
      <c r="D27" s="17" t="str">
        <f>IF(Tabla1[[#This Row],[Periodo]]="","",IF(B27&lt;=Simulador!$F$47,PPMT(Simulador!$F$41+Simulador!$F$43,Cronograma!B27,Simulador!$F$47,-Simulador!$F$37),""))</f>
        <v/>
      </c>
      <c r="E27" s="17" t="str">
        <f>IF(B26&lt;Simulador!$F$47,(IPMT(Simulador!$F$41+Simulador!$F$43,Tabla1[[#This Row],[Periodo]],Simulador!$F$47,-Simulador!$F$37)-Tabla1[[#This Row],[Seguro Desgravamen]]),"")</f>
        <v/>
      </c>
      <c r="F27" s="17" t="str">
        <f>IF(B26&lt;Simulador!$F$47,C27*Simulador!$F$43,"")</f>
        <v/>
      </c>
      <c r="G27" s="16" t="str">
        <f>IF(B26&lt;Simulador!$F$47,Simulador!$F$45*Simulador!$F$12/12,"")</f>
        <v/>
      </c>
      <c r="H27" s="17" t="str">
        <f>IF(B26&lt;Simulador!$F$47,C27-D27,"")</f>
        <v/>
      </c>
      <c r="I27" s="17" t="str">
        <f>IF(B26&lt;Simulador!$F$47,PMT(Simulador!$F$41+Simulador!$F$43,Simulador!$F$47,-Simulador!$F$37)+G27,"")</f>
        <v/>
      </c>
    </row>
    <row r="28" spans="1:15" ht="17.100000000000001" customHeight="1" x14ac:dyDescent="0.25">
      <c r="A28" s="14"/>
      <c r="B28" s="13" t="str">
        <f>IF(B27&lt;Simulador!$F$47,B27+1,"")</f>
        <v/>
      </c>
      <c r="C28" s="16" t="str">
        <f>IF(B27&lt;Simulador!$F$47,H27,"")</f>
        <v/>
      </c>
      <c r="D28" s="17" t="str">
        <f>IF(Tabla1[[#This Row],[Periodo]]="","",IF(B28&lt;=Simulador!$F$47,PPMT(Simulador!$F$41+Simulador!$F$43,Cronograma!B28,Simulador!$F$47,-Simulador!$F$37),""))</f>
        <v/>
      </c>
      <c r="E28" s="17" t="str">
        <f>IF(B27&lt;Simulador!$F$47,(IPMT(Simulador!$F$41+Simulador!$F$43,Tabla1[[#This Row],[Periodo]],Simulador!$F$47,-Simulador!$F$37)-Tabla1[[#This Row],[Seguro Desgravamen]]),"")</f>
        <v/>
      </c>
      <c r="F28" s="17" t="str">
        <f>IF(B27&lt;Simulador!$F$47,C28*Simulador!$F$43,"")</f>
        <v/>
      </c>
      <c r="G28" s="16" t="str">
        <f>IF(B27&lt;Simulador!$F$47,Simulador!$F$45*Simulador!$F$12/12,"")</f>
        <v/>
      </c>
      <c r="H28" s="17" t="str">
        <f>IF(B27&lt;Simulador!$F$47,C28-D28,"")</f>
        <v/>
      </c>
      <c r="I28" s="17" t="str">
        <f>IF(B27&lt;Simulador!$F$47,PMT(Simulador!$F$41+Simulador!$F$43,Simulador!$F$47,-Simulador!$F$37)+G28,"")</f>
        <v/>
      </c>
    </row>
    <row r="29" spans="1:15" ht="17.100000000000001" customHeight="1" x14ac:dyDescent="0.25">
      <c r="A29" s="14"/>
      <c r="B29" s="13" t="str">
        <f>IF(B28&lt;Simulador!$F$47,B28+1,"")</f>
        <v/>
      </c>
      <c r="C29" s="16" t="str">
        <f>IF(B28&lt;Simulador!$F$47,H28,"")</f>
        <v/>
      </c>
      <c r="D29" s="17" t="str">
        <f>IF(Tabla1[[#This Row],[Periodo]]="","",IF(B29&lt;=Simulador!$F$47,PPMT(Simulador!$F$41+Simulador!$F$43,Cronograma!B29,Simulador!$F$47,-Simulador!$F$37),""))</f>
        <v/>
      </c>
      <c r="E29" s="17" t="str">
        <f>IF(B28&lt;Simulador!$F$47,(IPMT(Simulador!$F$41+Simulador!$F$43,Tabla1[[#This Row],[Periodo]],Simulador!$F$47,-Simulador!$F$37)-Tabla1[[#This Row],[Seguro Desgravamen]]),"")</f>
        <v/>
      </c>
      <c r="F29" s="17" t="str">
        <f>IF(B28&lt;Simulador!$F$47,C29*Simulador!$F$43,"")</f>
        <v/>
      </c>
      <c r="G29" s="16" t="str">
        <f>IF(B28&lt;Simulador!$F$47,Simulador!$F$45*Simulador!$F$12/12,"")</f>
        <v/>
      </c>
      <c r="H29" s="17" t="str">
        <f>IF(B28&lt;Simulador!$F$47,C29-D29,"")</f>
        <v/>
      </c>
      <c r="I29" s="17" t="str">
        <f>IF(B28&lt;Simulador!$F$47,PMT(Simulador!$F$41+Simulador!$F$43,Simulador!$F$47,-Simulador!$F$37)+G29,"")</f>
        <v/>
      </c>
    </row>
    <row r="30" spans="1:15" ht="17.100000000000001" customHeight="1" x14ac:dyDescent="0.25">
      <c r="A30" s="14"/>
      <c r="B30" s="13" t="str">
        <f>IF(B29&lt;Simulador!$F$47,B29+1,"")</f>
        <v/>
      </c>
      <c r="C30" s="16" t="str">
        <f>IF(B29&lt;Simulador!$F$47,H29,"")</f>
        <v/>
      </c>
      <c r="D30" s="17" t="str">
        <f>IF(Tabla1[[#This Row],[Periodo]]="","",IF(B30&lt;=Simulador!$F$47,PPMT(Simulador!$F$41+Simulador!$F$43,Cronograma!B30,Simulador!$F$47,-Simulador!$F$37),""))</f>
        <v/>
      </c>
      <c r="E30" s="17" t="str">
        <f>IF(B29&lt;Simulador!$F$47,(IPMT(Simulador!$F$41+Simulador!$F$43,Tabla1[[#This Row],[Periodo]],Simulador!$F$47,-Simulador!$F$37)-Tabla1[[#This Row],[Seguro Desgravamen]]),"")</f>
        <v/>
      </c>
      <c r="F30" s="17" t="str">
        <f>IF(B29&lt;Simulador!$F$47,C30*Simulador!$F$43,"")</f>
        <v/>
      </c>
      <c r="G30" s="16" t="str">
        <f>IF(B29&lt;Simulador!$F$47,Simulador!$F$45*Simulador!$F$12/12,"")</f>
        <v/>
      </c>
      <c r="H30" s="17" t="str">
        <f>IF(B29&lt;Simulador!$F$47,C30-D30,"")</f>
        <v/>
      </c>
      <c r="I30" s="17" t="str">
        <f>IF(B29&lt;Simulador!$F$47,PMT(Simulador!$F$41+Simulador!$F$43,Simulador!$F$47,-Simulador!$F$37)+G30,"")</f>
        <v/>
      </c>
    </row>
    <row r="31" spans="1:15" ht="17.100000000000001" customHeight="1" x14ac:dyDescent="0.25">
      <c r="A31" s="14"/>
      <c r="B31" s="13" t="str">
        <f>IF(B30&lt;Simulador!$F$47,B30+1,"")</f>
        <v/>
      </c>
      <c r="C31" s="16" t="str">
        <f>IF(B30&lt;Simulador!$F$47,H30,"")</f>
        <v/>
      </c>
      <c r="D31" s="17" t="str">
        <f>IF(Tabla1[[#This Row],[Periodo]]="","",IF(B31&lt;=Simulador!$F$47,PPMT(Simulador!$F$41+Simulador!$F$43,Cronograma!B31,Simulador!$F$47,-Simulador!$F$37),""))</f>
        <v/>
      </c>
      <c r="E31" s="17" t="str">
        <f>IF(B30&lt;Simulador!$F$47,(IPMT(Simulador!$F$41+Simulador!$F$43,Tabla1[[#This Row],[Periodo]],Simulador!$F$47,-Simulador!$F$37)-Tabla1[[#This Row],[Seguro Desgravamen]]),"")</f>
        <v/>
      </c>
      <c r="F31" s="17" t="str">
        <f>IF(B30&lt;Simulador!$F$47,C31*Simulador!$F$43,"")</f>
        <v/>
      </c>
      <c r="G31" s="16" t="str">
        <f>IF(B30&lt;Simulador!$F$47,Simulador!$F$45*Simulador!$F$12/12,"")</f>
        <v/>
      </c>
      <c r="H31" s="17" t="str">
        <f>IF(B30&lt;Simulador!$F$47,C31-D31,"")</f>
        <v/>
      </c>
      <c r="I31" s="17" t="str">
        <f>IF(B30&lt;Simulador!$F$47,PMT(Simulador!$F$41+Simulador!$F$43,Simulador!$F$47,-Simulador!$F$37)+G31,"")</f>
        <v/>
      </c>
    </row>
    <row r="32" spans="1:15" ht="17.100000000000001" customHeight="1" x14ac:dyDescent="0.25">
      <c r="A32" s="14"/>
      <c r="B32" s="13" t="str">
        <f>IF(B31&lt;Simulador!$F$47,B31+1,"")</f>
        <v/>
      </c>
      <c r="C32" s="16" t="str">
        <f>IF(B31&lt;Simulador!$F$47,H31,"")</f>
        <v/>
      </c>
      <c r="D32" s="17" t="str">
        <f>IF(Tabla1[[#This Row],[Periodo]]="","",IF(B32&lt;=Simulador!$F$47,PPMT(Simulador!$F$41+Simulador!$F$43,Cronograma!B32,Simulador!$F$47,-Simulador!$F$37),""))</f>
        <v/>
      </c>
      <c r="E32" s="17" t="str">
        <f>IF(B31&lt;Simulador!$F$47,(IPMT(Simulador!$F$41+Simulador!$F$43,Tabla1[[#This Row],[Periodo]],Simulador!$F$47,-Simulador!$F$37)-Tabla1[[#This Row],[Seguro Desgravamen]]),"")</f>
        <v/>
      </c>
      <c r="F32" s="17" t="str">
        <f>IF(B31&lt;Simulador!$F$47,C32*Simulador!$F$43,"")</f>
        <v/>
      </c>
      <c r="G32" s="16" t="str">
        <f>IF(B31&lt;Simulador!$F$47,Simulador!$F$45*Simulador!$F$12/12,"")</f>
        <v/>
      </c>
      <c r="H32" s="17" t="str">
        <f>IF(B31&lt;Simulador!$F$47,C32-D32,"")</f>
        <v/>
      </c>
      <c r="I32" s="17" t="str">
        <f>IF(B31&lt;Simulador!$F$47,PMT(Simulador!$F$41+Simulador!$F$43,Simulador!$F$47,-Simulador!$F$37)+G32,"")</f>
        <v/>
      </c>
      <c r="O32" s="21"/>
    </row>
    <row r="33" spans="1:9" ht="17.100000000000001" customHeight="1" x14ac:dyDescent="0.25">
      <c r="A33" s="14"/>
      <c r="B33" s="13" t="str">
        <f>IF(B32&lt;Simulador!$F$47,B32+1,"")</f>
        <v/>
      </c>
      <c r="C33" s="16" t="str">
        <f>IF(B32&lt;Simulador!$F$47,H32,"")</f>
        <v/>
      </c>
      <c r="D33" s="17" t="str">
        <f>IF(Tabla1[[#This Row],[Periodo]]="","",IF(B33&lt;=Simulador!$F$47,PPMT(Simulador!$F$41+Simulador!$F$43,Cronograma!B33,Simulador!$F$47,-Simulador!$F$37),""))</f>
        <v/>
      </c>
      <c r="E33" s="17" t="str">
        <f>IF(B32&lt;Simulador!$F$47,(IPMT(Simulador!$F$41+Simulador!$F$43,Tabla1[[#This Row],[Periodo]],Simulador!$F$47,-Simulador!$F$37)-Tabla1[[#This Row],[Seguro Desgravamen]]),"")</f>
        <v/>
      </c>
      <c r="F33" s="17" t="str">
        <f>IF(B32&lt;Simulador!$F$47,C33*Simulador!$F$43,"")</f>
        <v/>
      </c>
      <c r="G33" s="16" t="str">
        <f>IF(B32&lt;Simulador!$F$47,Simulador!$F$45*Simulador!$F$12/12,"")</f>
        <v/>
      </c>
      <c r="H33" s="17" t="str">
        <f>IF(B32&lt;Simulador!$F$47,C33-D33,"")</f>
        <v/>
      </c>
      <c r="I33" s="17" t="str">
        <f>IF(B32&lt;Simulador!$F$47,PMT(Simulador!$F$41+Simulador!$F$43,Simulador!$F$47,-Simulador!$F$37)+G33,"")</f>
        <v/>
      </c>
    </row>
    <row r="34" spans="1:9" ht="17.100000000000001" customHeight="1" x14ac:dyDescent="0.25">
      <c r="A34" s="14"/>
      <c r="B34" s="13" t="str">
        <f>IF(B33&lt;Simulador!$F$47,B33+1,"")</f>
        <v/>
      </c>
      <c r="C34" s="16" t="str">
        <f>IF(B33&lt;Simulador!$F$47,H33,"")</f>
        <v/>
      </c>
      <c r="D34" s="17" t="str">
        <f>IF(Tabla1[[#This Row],[Periodo]]="","",IF(B34&lt;=Simulador!$F$47,PPMT(Simulador!$F$41+Simulador!$F$43,Cronograma!B34,Simulador!$F$47,-Simulador!$F$37),""))</f>
        <v/>
      </c>
      <c r="E34" s="17" t="str">
        <f>IF(B33&lt;Simulador!$F$47,(IPMT(Simulador!$F$41+Simulador!$F$43,Tabla1[[#This Row],[Periodo]],Simulador!$F$47,-Simulador!$F$37)-Tabla1[[#This Row],[Seguro Desgravamen]]),"")</f>
        <v/>
      </c>
      <c r="F34" s="17" t="str">
        <f>IF(B33&lt;Simulador!$F$47,C34*Simulador!$F$43,"")</f>
        <v/>
      </c>
      <c r="G34" s="16" t="str">
        <f>IF(B33&lt;Simulador!$F$47,Simulador!$F$45*Simulador!$F$12/12,"")</f>
        <v/>
      </c>
      <c r="H34" s="17" t="str">
        <f>IF(B33&lt;Simulador!$F$47,C34-D34,"")</f>
        <v/>
      </c>
      <c r="I34" s="17" t="str">
        <f>IF(B33&lt;Simulador!$F$47,PMT(Simulador!$F$41+Simulador!$F$43,Simulador!$F$47,-Simulador!$F$37)+G34,"")</f>
        <v/>
      </c>
    </row>
    <row r="35" spans="1:9" ht="17.100000000000001" customHeight="1" x14ac:dyDescent="0.25">
      <c r="A35" s="14"/>
      <c r="B35" s="13" t="str">
        <f>IF(B34&lt;Simulador!$F$47,B34+1,"")</f>
        <v/>
      </c>
      <c r="C35" s="16" t="str">
        <f>IF(B34&lt;Simulador!$F$47,H34,"")</f>
        <v/>
      </c>
      <c r="D35" s="17" t="str">
        <f>IF(Tabla1[[#This Row],[Periodo]]="","",IF(B35&lt;=Simulador!$F$47,PPMT(Simulador!$F$41+Simulador!$F$43,Cronograma!B35,Simulador!$F$47,-Simulador!$F$37),""))</f>
        <v/>
      </c>
      <c r="E35" s="17" t="str">
        <f>IF(B34&lt;Simulador!$F$47,(IPMT(Simulador!$F$41+Simulador!$F$43,Tabla1[[#This Row],[Periodo]],Simulador!$F$47,-Simulador!$F$37)-Tabla1[[#This Row],[Seguro Desgravamen]]),"")</f>
        <v/>
      </c>
      <c r="F35" s="17" t="str">
        <f>IF(B34&lt;Simulador!$F$47,C35*Simulador!$F$43,"")</f>
        <v/>
      </c>
      <c r="G35" s="16" t="str">
        <f>IF(B34&lt;Simulador!$F$47,Simulador!$F$45*Simulador!$F$12/12,"")</f>
        <v/>
      </c>
      <c r="H35" s="17" t="str">
        <f>IF(B34&lt;Simulador!$F$47,C35-D35,"")</f>
        <v/>
      </c>
      <c r="I35" s="17" t="str">
        <f>IF(B34&lt;Simulador!$F$47,PMT(Simulador!$F$41+Simulador!$F$43,Simulador!$F$47,-Simulador!$F$37)+G35,"")</f>
        <v/>
      </c>
    </row>
    <row r="36" spans="1:9" ht="17.100000000000001" customHeight="1" x14ac:dyDescent="0.25">
      <c r="A36" s="14"/>
      <c r="B36" s="13" t="str">
        <f>IF(B35&lt;Simulador!$F$47,B35+1,"")</f>
        <v/>
      </c>
      <c r="C36" s="16" t="str">
        <f>IF(B35&lt;Simulador!$F$47,H35,"")</f>
        <v/>
      </c>
      <c r="D36" s="17" t="str">
        <f>IF(Tabla1[[#This Row],[Periodo]]="","",IF(B36&lt;=Simulador!$F$47,PPMT(Simulador!$F$41+Simulador!$F$43,Cronograma!B36,Simulador!$F$47,-Simulador!$F$37),""))</f>
        <v/>
      </c>
      <c r="E36" s="17" t="str">
        <f>IF(B35&lt;Simulador!$F$47,(IPMT(Simulador!$F$41+Simulador!$F$43,Tabla1[[#This Row],[Periodo]],Simulador!$F$47,-Simulador!$F$37)-Tabla1[[#This Row],[Seguro Desgravamen]]),"")</f>
        <v/>
      </c>
      <c r="F36" s="17" t="str">
        <f>IF(B35&lt;Simulador!$F$47,C36*Simulador!$F$43,"")</f>
        <v/>
      </c>
      <c r="G36" s="16" t="str">
        <f>IF(B35&lt;Simulador!$F$47,Simulador!$F$45*Simulador!$F$12/12,"")</f>
        <v/>
      </c>
      <c r="H36" s="17" t="str">
        <f>IF(B35&lt;Simulador!$F$47,C36-D36,"")</f>
        <v/>
      </c>
      <c r="I36" s="17" t="str">
        <f>IF(B35&lt;Simulador!$F$47,PMT(Simulador!$F$41+Simulador!$F$43,Simulador!$F$47,-Simulador!$F$37)+G36,"")</f>
        <v/>
      </c>
    </row>
    <row r="37" spans="1:9" ht="17.100000000000001" customHeight="1" x14ac:dyDescent="0.25">
      <c r="A37" s="14"/>
      <c r="B37" s="13" t="str">
        <f>IF(B36&lt;Simulador!$F$47,B36+1,"")</f>
        <v/>
      </c>
      <c r="C37" s="16" t="str">
        <f>IF(B36&lt;Simulador!$F$47,H36,"")</f>
        <v/>
      </c>
      <c r="D37" s="17" t="str">
        <f>IF(Tabla1[[#This Row],[Periodo]]="","",IF(B37&lt;=Simulador!$F$47,PPMT(Simulador!$F$41+Simulador!$F$43,Cronograma!B37,Simulador!$F$47,-Simulador!$F$37),""))</f>
        <v/>
      </c>
      <c r="E37" s="17" t="str">
        <f>IF(B36&lt;Simulador!$F$47,(IPMT(Simulador!$F$41+Simulador!$F$43,Tabla1[[#This Row],[Periodo]],Simulador!$F$47,-Simulador!$F$37)-Tabla1[[#This Row],[Seguro Desgravamen]]),"")</f>
        <v/>
      </c>
      <c r="F37" s="17" t="str">
        <f>IF(B36&lt;Simulador!$F$47,C37*Simulador!$F$43,"")</f>
        <v/>
      </c>
      <c r="G37" s="16" t="str">
        <f>IF(B36&lt;Simulador!$F$47,Simulador!$F$45*Simulador!$F$12/12,"")</f>
        <v/>
      </c>
      <c r="H37" s="17" t="str">
        <f>IF(B36&lt;Simulador!$F$47,C37-D37,"")</f>
        <v/>
      </c>
      <c r="I37" s="17" t="str">
        <f>IF(B36&lt;Simulador!$F$47,PMT(Simulador!$F$41+Simulador!$F$43,Simulador!$F$47,-Simulador!$F$37)+G37,"")</f>
        <v/>
      </c>
    </row>
    <row r="38" spans="1:9" ht="17.100000000000001" customHeight="1" x14ac:dyDescent="0.25">
      <c r="A38" s="14"/>
      <c r="B38" s="13" t="str">
        <f>IF(B37&lt;Simulador!$F$47,B37+1,"")</f>
        <v/>
      </c>
      <c r="C38" s="16" t="str">
        <f>IF(B37&lt;Simulador!$F$47,H37,"")</f>
        <v/>
      </c>
      <c r="D38" s="17" t="str">
        <f>IF(Tabla1[[#This Row],[Periodo]]="","",IF(B38&lt;=Simulador!$F$47,PPMT(Simulador!$F$41+Simulador!$F$43,Cronograma!B38,Simulador!$F$47,-Simulador!$F$37),""))</f>
        <v/>
      </c>
      <c r="E38" s="17" t="str">
        <f>IF(B37&lt;Simulador!$F$47,(IPMT(Simulador!$F$41+Simulador!$F$43,Tabla1[[#This Row],[Periodo]],Simulador!$F$47,-Simulador!$F$37)-Tabla1[[#This Row],[Seguro Desgravamen]]),"")</f>
        <v/>
      </c>
      <c r="F38" s="17" t="str">
        <f>IF(B37&lt;Simulador!$F$47,C38*Simulador!$F$43,"")</f>
        <v/>
      </c>
      <c r="G38" s="16" t="str">
        <f>IF(B37&lt;Simulador!$F$47,Simulador!$F$45*Simulador!$F$12/12,"")</f>
        <v/>
      </c>
      <c r="H38" s="17" t="str">
        <f>IF(B37&lt;Simulador!$F$47,C38-D38,"")</f>
        <v/>
      </c>
      <c r="I38" s="17" t="str">
        <f>IF(B37&lt;Simulador!$F$47,PMT(Simulador!$F$41+Simulador!$F$43,Simulador!$F$47,-Simulador!$F$37)+G38,"")</f>
        <v/>
      </c>
    </row>
    <row r="39" spans="1:9" ht="17.100000000000001" customHeight="1" x14ac:dyDescent="0.25">
      <c r="A39" s="14"/>
      <c r="B39" s="13" t="str">
        <f>IF(B38&lt;Simulador!$F$47,B38+1,"")</f>
        <v/>
      </c>
      <c r="C39" s="16" t="str">
        <f>IF(B38&lt;Simulador!$F$47,H38,"")</f>
        <v/>
      </c>
      <c r="D39" s="17" t="str">
        <f>IF(Tabla1[[#This Row],[Periodo]]="","",IF(B39&lt;=Simulador!$F$47,PPMT(Simulador!$F$41+Simulador!$F$43,Cronograma!B39,Simulador!$F$47,-Simulador!$F$37),""))</f>
        <v/>
      </c>
      <c r="E39" s="17" t="str">
        <f>IF(B38&lt;Simulador!$F$47,(IPMT(Simulador!$F$41+Simulador!$F$43,Tabla1[[#This Row],[Periodo]],Simulador!$F$47,-Simulador!$F$37)-Tabla1[[#This Row],[Seguro Desgravamen]]),"")</f>
        <v/>
      </c>
      <c r="F39" s="17" t="str">
        <f>IF(B38&lt;Simulador!$F$47,C39*Simulador!$F$43,"")</f>
        <v/>
      </c>
      <c r="G39" s="16" t="str">
        <f>IF(B38&lt;Simulador!$F$47,Simulador!$F$45*Simulador!$F$12/12,"")</f>
        <v/>
      </c>
      <c r="H39" s="17" t="str">
        <f>IF(B38&lt;Simulador!$F$47,C39-D39,"")</f>
        <v/>
      </c>
      <c r="I39" s="17" t="str">
        <f>IF(B38&lt;Simulador!$F$47,PMT(Simulador!$F$41+Simulador!$F$43,Simulador!$F$47,-Simulador!$F$37)+G39,"")</f>
        <v/>
      </c>
    </row>
    <row r="40" spans="1:9" ht="17.100000000000001" customHeight="1" x14ac:dyDescent="0.25">
      <c r="A40" s="14"/>
      <c r="B40" s="13" t="str">
        <f>IF(B39&lt;Simulador!$F$47,B39+1,"")</f>
        <v/>
      </c>
      <c r="C40" s="16" t="str">
        <f>IF(B39&lt;Simulador!$F$47,H39,"")</f>
        <v/>
      </c>
      <c r="D40" s="17" t="str">
        <f>IF(Tabla1[[#This Row],[Periodo]]="","",IF(B40&lt;=Simulador!$F$47,PPMT(Simulador!$F$41+Simulador!$F$43,Cronograma!B40,Simulador!$F$47,-Simulador!$F$37),""))</f>
        <v/>
      </c>
      <c r="E40" s="17" t="str">
        <f>IF(B39&lt;Simulador!$F$47,(IPMT(Simulador!$F$41+Simulador!$F$43,Tabla1[[#This Row],[Periodo]],Simulador!$F$47,-Simulador!$F$37)-Tabla1[[#This Row],[Seguro Desgravamen]]),"")</f>
        <v/>
      </c>
      <c r="F40" s="17" t="str">
        <f>IF(B39&lt;Simulador!$F$47,C40*Simulador!$F$43,"")</f>
        <v/>
      </c>
      <c r="G40" s="16" t="str">
        <f>IF(B39&lt;Simulador!$F$47,Simulador!$F$45*Simulador!$F$12/12,"")</f>
        <v/>
      </c>
      <c r="H40" s="17" t="str">
        <f>IF(B39&lt;Simulador!$F$47,C40-D40,"")</f>
        <v/>
      </c>
      <c r="I40" s="17" t="str">
        <f>IF(B39&lt;Simulador!$F$47,PMT(Simulador!$F$41+Simulador!$F$43,Simulador!$F$47,-Simulador!$F$37)+G40,"")</f>
        <v/>
      </c>
    </row>
    <row r="41" spans="1:9" ht="17.100000000000001" customHeight="1" x14ac:dyDescent="0.25">
      <c r="A41" s="14"/>
      <c r="B41" s="13" t="str">
        <f>IF(B40&lt;Simulador!$F$47,B40+1,"")</f>
        <v/>
      </c>
      <c r="C41" s="16" t="str">
        <f>IF(B40&lt;Simulador!$F$47,H40,"")</f>
        <v/>
      </c>
      <c r="D41" s="17" t="str">
        <f>IF(Tabla1[[#This Row],[Periodo]]="","",IF(B41&lt;=Simulador!$F$47,PPMT(Simulador!$F$41+Simulador!$F$43,Cronograma!B41,Simulador!$F$47,-Simulador!$F$37),""))</f>
        <v/>
      </c>
      <c r="E41" s="17" t="str">
        <f>IF(B40&lt;Simulador!$F$47,(IPMT(Simulador!$F$41+Simulador!$F$43,Tabla1[[#This Row],[Periodo]],Simulador!$F$47,-Simulador!$F$37)-Tabla1[[#This Row],[Seguro Desgravamen]]),"")</f>
        <v/>
      </c>
      <c r="F41" s="17" t="str">
        <f>IF(B40&lt;Simulador!$F$47,C41*Simulador!$F$43,"")</f>
        <v/>
      </c>
      <c r="G41" s="16" t="str">
        <f>IF(B40&lt;Simulador!$F$47,Simulador!$F$45*Simulador!$F$12/12,"")</f>
        <v/>
      </c>
      <c r="H41" s="17" t="str">
        <f>IF(B40&lt;Simulador!$F$47,C41-D41,"")</f>
        <v/>
      </c>
      <c r="I41" s="17" t="str">
        <f>IF(B40&lt;Simulador!$F$47,PMT(Simulador!$F$41+Simulador!$F$43,Simulador!$F$47,-Simulador!$F$37)+G41,"")</f>
        <v/>
      </c>
    </row>
    <row r="42" spans="1:9" ht="17.100000000000001" customHeight="1" x14ac:dyDescent="0.25">
      <c r="A42" s="14"/>
      <c r="B42" s="13" t="str">
        <f>IF(B41&lt;Simulador!$F$47,B41+1,"")</f>
        <v/>
      </c>
      <c r="C42" s="16" t="str">
        <f>IF(B41&lt;Simulador!$F$47,H41,"")</f>
        <v/>
      </c>
      <c r="D42" s="17" t="str">
        <f>IF(Tabla1[[#This Row],[Periodo]]="","",IF(B42&lt;=Simulador!$F$47,PPMT(Simulador!$F$41+Simulador!$F$43,Cronograma!B42,Simulador!$F$47,-Simulador!$F$37),""))</f>
        <v/>
      </c>
      <c r="E42" s="17" t="str">
        <f>IF(B41&lt;Simulador!$F$47,(IPMT(Simulador!$F$41+Simulador!$F$43,Tabla1[[#This Row],[Periodo]],Simulador!$F$47,-Simulador!$F$37)-Tabla1[[#This Row],[Seguro Desgravamen]]),"")</f>
        <v/>
      </c>
      <c r="F42" s="17" t="str">
        <f>IF(B41&lt;Simulador!$F$47,C42*Simulador!$F$43,"")</f>
        <v/>
      </c>
      <c r="G42" s="16" t="str">
        <f>IF(B41&lt;Simulador!$F$47,Simulador!$F$45*Simulador!$F$12/12,"")</f>
        <v/>
      </c>
      <c r="H42" s="17" t="str">
        <f>IF(B41&lt;Simulador!$F$47,C42-D42,"")</f>
        <v/>
      </c>
      <c r="I42" s="17" t="str">
        <f>IF(B41&lt;Simulador!$F$47,PMT(Simulador!$F$41+Simulador!$F$43,Simulador!$F$47,-Simulador!$F$37)+G42,"")</f>
        <v/>
      </c>
    </row>
    <row r="43" spans="1:9" ht="17.100000000000001" customHeight="1" x14ac:dyDescent="0.25">
      <c r="A43" s="14"/>
      <c r="B43" s="13" t="str">
        <f>IF(B42&lt;Simulador!$F$47,B42+1,"")</f>
        <v/>
      </c>
      <c r="C43" s="16" t="str">
        <f>IF(B42&lt;Simulador!$F$47,H42,"")</f>
        <v/>
      </c>
      <c r="D43" s="17" t="str">
        <f>IF(Tabla1[[#This Row],[Periodo]]="","",IF(B43&lt;=Simulador!$F$47,PPMT(Simulador!$F$41+Simulador!$F$43,Cronograma!B43,Simulador!$F$47,-Simulador!$F$37),""))</f>
        <v/>
      </c>
      <c r="E43" s="17" t="str">
        <f>IF(B42&lt;Simulador!$F$47,(IPMT(Simulador!$F$41+Simulador!$F$43,Tabla1[[#This Row],[Periodo]],Simulador!$F$47,-Simulador!$F$37)-Tabla1[[#This Row],[Seguro Desgravamen]]),"")</f>
        <v/>
      </c>
      <c r="F43" s="17" t="str">
        <f>IF(B42&lt;Simulador!$F$47,C43*Simulador!$F$43,"")</f>
        <v/>
      </c>
      <c r="G43" s="16" t="str">
        <f>IF(B42&lt;Simulador!$F$47,Simulador!$F$45*Simulador!$F$12/12,"")</f>
        <v/>
      </c>
      <c r="H43" s="17" t="str">
        <f>IF(B42&lt;Simulador!$F$47,C43-D43,"")</f>
        <v/>
      </c>
      <c r="I43" s="17" t="str">
        <f>IF(B42&lt;Simulador!$F$47,PMT(Simulador!$F$41+Simulador!$F$43,Simulador!$F$47,-Simulador!$F$37)+G43,"")</f>
        <v/>
      </c>
    </row>
    <row r="44" spans="1:9" ht="17.100000000000001" customHeight="1" x14ac:dyDescent="0.25">
      <c r="A44" s="14"/>
      <c r="B44" s="13" t="str">
        <f>IF(B43&lt;Simulador!$F$47,B43+1,"")</f>
        <v/>
      </c>
      <c r="C44" s="16" t="str">
        <f>IF(B43&lt;Simulador!$F$47,H43,"")</f>
        <v/>
      </c>
      <c r="D44" s="17" t="str">
        <f>IF(Tabla1[[#This Row],[Periodo]]="","",IF(B44&lt;=Simulador!$F$47,PPMT(Simulador!$F$41+Simulador!$F$43,Cronograma!B44,Simulador!$F$47,-Simulador!$F$37),""))</f>
        <v/>
      </c>
      <c r="E44" s="17" t="str">
        <f>IF(B43&lt;Simulador!$F$47,(IPMT(Simulador!$F$41+Simulador!$F$43,Tabla1[[#This Row],[Periodo]],Simulador!$F$47,-Simulador!$F$37)-Tabla1[[#This Row],[Seguro Desgravamen]]),"")</f>
        <v/>
      </c>
      <c r="F44" s="17" t="str">
        <f>IF(B43&lt;Simulador!$F$47,C44*Simulador!$F$43,"")</f>
        <v/>
      </c>
      <c r="G44" s="16" t="str">
        <f>IF(B43&lt;Simulador!$F$47,Simulador!$F$45*Simulador!$F$12/12,"")</f>
        <v/>
      </c>
      <c r="H44" s="17" t="str">
        <f>IF(B43&lt;Simulador!$F$47,C44-D44,"")</f>
        <v/>
      </c>
      <c r="I44" s="17" t="str">
        <f>IF(B43&lt;Simulador!$F$47,PMT(Simulador!$F$41+Simulador!$F$43,Simulador!$F$47,-Simulador!$F$37)+G44,"")</f>
        <v/>
      </c>
    </row>
    <row r="45" spans="1:9" ht="17.100000000000001" customHeight="1" x14ac:dyDescent="0.25">
      <c r="A45" s="14"/>
      <c r="B45" s="13" t="str">
        <f>IF(B44&lt;Simulador!$F$47,B44+1,"")</f>
        <v/>
      </c>
      <c r="C45" s="16" t="str">
        <f>IF(B44&lt;Simulador!$F$47,H44,"")</f>
        <v/>
      </c>
      <c r="D45" s="17" t="str">
        <f>IF(Tabla1[[#This Row],[Periodo]]="","",IF(B45&lt;=Simulador!$F$47,PPMT(Simulador!$F$41+Simulador!$F$43,Cronograma!B45,Simulador!$F$47,-Simulador!$F$37),""))</f>
        <v/>
      </c>
      <c r="E45" s="17" t="str">
        <f>IF(B44&lt;Simulador!$F$47,(IPMT(Simulador!$F$41+Simulador!$F$43,Tabla1[[#This Row],[Periodo]],Simulador!$F$47,-Simulador!$F$37)-Tabla1[[#This Row],[Seguro Desgravamen]]),"")</f>
        <v/>
      </c>
      <c r="F45" s="17" t="str">
        <f>IF(B44&lt;Simulador!$F$47,C45*Simulador!$F$43,"")</f>
        <v/>
      </c>
      <c r="G45" s="16" t="str">
        <f>IF(B44&lt;Simulador!$F$47,Simulador!$F$45*Simulador!$F$12/12,"")</f>
        <v/>
      </c>
      <c r="H45" s="17" t="str">
        <f>IF(B44&lt;Simulador!$F$47,C45-D45,"")</f>
        <v/>
      </c>
      <c r="I45" s="17" t="str">
        <f>IF(B44&lt;Simulador!$F$47,PMT(Simulador!$F$41+Simulador!$F$43,Simulador!$F$47,-Simulador!$F$37)+G45,"")</f>
        <v/>
      </c>
    </row>
    <row r="46" spans="1:9" ht="17.100000000000001" customHeight="1" x14ac:dyDescent="0.25">
      <c r="A46" s="14"/>
      <c r="B46" s="13" t="str">
        <f>IF(B45&lt;Simulador!$F$47,B45+1,"")</f>
        <v/>
      </c>
      <c r="C46" s="16" t="str">
        <f>IF(B45&lt;Simulador!$F$47,H45,"")</f>
        <v/>
      </c>
      <c r="D46" s="17" t="str">
        <f>IF(Tabla1[[#This Row],[Periodo]]="","",IF(B46&lt;=Simulador!$F$47,PPMT(Simulador!$F$41+Simulador!$F$43,Cronograma!B46,Simulador!$F$47,-Simulador!$F$37),""))</f>
        <v/>
      </c>
      <c r="E46" s="17" t="str">
        <f>IF(B45&lt;Simulador!$F$47,(IPMT(Simulador!$F$41+Simulador!$F$43,Tabla1[[#This Row],[Periodo]],Simulador!$F$47,-Simulador!$F$37)-Tabla1[[#This Row],[Seguro Desgravamen]]),"")</f>
        <v/>
      </c>
      <c r="F46" s="17" t="str">
        <f>IF(B45&lt;Simulador!$F$47,C46*Simulador!$F$43,"")</f>
        <v/>
      </c>
      <c r="G46" s="16" t="str">
        <f>IF(B45&lt;Simulador!$F$47,Simulador!$F$45*Simulador!$F$12/12,"")</f>
        <v/>
      </c>
      <c r="H46" s="17" t="str">
        <f>IF(B45&lt;Simulador!$F$47,C46-D46,"")</f>
        <v/>
      </c>
      <c r="I46" s="17" t="str">
        <f>IF(B45&lt;Simulador!$F$47,PMT(Simulador!$F$41+Simulador!$F$43,Simulador!$F$47,-Simulador!$F$37)+G46,"")</f>
        <v/>
      </c>
    </row>
    <row r="47" spans="1:9" ht="17.100000000000001" customHeight="1" x14ac:dyDescent="0.25">
      <c r="A47" s="14"/>
      <c r="B47" s="13" t="str">
        <f>IF(B46&lt;Simulador!$F$47,B46+1,"")</f>
        <v/>
      </c>
      <c r="C47" s="16" t="str">
        <f>IF(B46&lt;Simulador!$F$47,H46,"")</f>
        <v/>
      </c>
      <c r="D47" s="17" t="str">
        <f>IF(Tabla1[[#This Row],[Periodo]]="","",IF(B47&lt;=Simulador!$F$47,PPMT(Simulador!$F$41+Simulador!$F$43,Cronograma!B47,Simulador!$F$47,-Simulador!$F$37),""))</f>
        <v/>
      </c>
      <c r="E47" s="17" t="str">
        <f>IF(B46&lt;Simulador!$F$47,(IPMT(Simulador!$F$41+Simulador!$F$43,Tabla1[[#This Row],[Periodo]],Simulador!$F$47,-Simulador!$F$37)-Tabla1[[#This Row],[Seguro Desgravamen]]),"")</f>
        <v/>
      </c>
      <c r="F47" s="17" t="str">
        <f>IF(B46&lt;Simulador!$F$47,C47*Simulador!$F$43,"")</f>
        <v/>
      </c>
      <c r="G47" s="16" t="str">
        <f>IF(B46&lt;Simulador!$F$47,Simulador!$F$45*Simulador!$F$12/12,"")</f>
        <v/>
      </c>
      <c r="H47" s="17" t="str">
        <f>IF(B46&lt;Simulador!$F$47,C47-D47,"")</f>
        <v/>
      </c>
      <c r="I47" s="17" t="str">
        <f>IF(B46&lt;Simulador!$F$47,PMT(Simulador!$F$41+Simulador!$F$43,Simulador!$F$47,-Simulador!$F$37)+G47,"")</f>
        <v/>
      </c>
    </row>
    <row r="48" spans="1:9" ht="17.100000000000001" customHeight="1" x14ac:dyDescent="0.25">
      <c r="A48" s="14"/>
      <c r="B48" s="13" t="str">
        <f>IF(B47&lt;Simulador!$F$47,B47+1,"")</f>
        <v/>
      </c>
      <c r="C48" s="16" t="str">
        <f>IF(B47&lt;Simulador!$F$47,H47,"")</f>
        <v/>
      </c>
      <c r="D48" s="17" t="str">
        <f>IF(Tabla1[[#This Row],[Periodo]]="","",IF(B48&lt;=Simulador!$F$47,PPMT(Simulador!$F$41+Simulador!$F$43,Cronograma!B48,Simulador!$F$47,-Simulador!$F$37),""))</f>
        <v/>
      </c>
      <c r="E48" s="17" t="str">
        <f>IF(B47&lt;Simulador!$F$47,(IPMT(Simulador!$F$41+Simulador!$F$43,Tabla1[[#This Row],[Periodo]],Simulador!$F$47,-Simulador!$F$37)-Tabla1[[#This Row],[Seguro Desgravamen]]),"")</f>
        <v/>
      </c>
      <c r="F48" s="17" t="str">
        <f>IF(B47&lt;Simulador!$F$47,C48*Simulador!$F$43,"")</f>
        <v/>
      </c>
      <c r="G48" s="16" t="str">
        <f>IF(B47&lt;Simulador!$F$47,Simulador!$F$45*Simulador!$F$12/12,"")</f>
        <v/>
      </c>
      <c r="H48" s="17" t="str">
        <f>IF(B47&lt;Simulador!$F$47,C48-D48,"")</f>
        <v/>
      </c>
      <c r="I48" s="17" t="str">
        <f>IF(B47&lt;Simulador!$F$47,PMT(Simulador!$F$41+Simulador!$F$43,Simulador!$F$47,-Simulador!$F$37)+G48,"")</f>
        <v/>
      </c>
    </row>
    <row r="49" spans="1:9" ht="17.100000000000001" customHeight="1" x14ac:dyDescent="0.25">
      <c r="A49" s="14"/>
      <c r="B49" s="13" t="str">
        <f>IF(B48&lt;Simulador!$F$47,B48+1,"")</f>
        <v/>
      </c>
      <c r="C49" s="16" t="str">
        <f>IF(B48&lt;Simulador!$F$47,H48,"")</f>
        <v/>
      </c>
      <c r="D49" s="17" t="str">
        <f>IF(Tabla1[[#This Row],[Periodo]]="","",IF(B49&lt;=Simulador!$F$47,PPMT(Simulador!$F$41+Simulador!$F$43,Cronograma!B49,Simulador!$F$47,-Simulador!$F$37),""))</f>
        <v/>
      </c>
      <c r="E49" s="17" t="str">
        <f>IF(B48&lt;Simulador!$F$47,(IPMT(Simulador!$F$41+Simulador!$F$43,Tabla1[[#This Row],[Periodo]],Simulador!$F$47,-Simulador!$F$37)-Tabla1[[#This Row],[Seguro Desgravamen]]),"")</f>
        <v/>
      </c>
      <c r="F49" s="17" t="str">
        <f>IF(B48&lt;Simulador!$F$47,C49*Simulador!$F$43,"")</f>
        <v/>
      </c>
      <c r="G49" s="16" t="str">
        <f>IF(B48&lt;Simulador!$F$47,Simulador!$F$45*Simulador!$F$12/12,"")</f>
        <v/>
      </c>
      <c r="H49" s="17" t="str">
        <f>IF(B48&lt;Simulador!$F$47,C49-D49,"")</f>
        <v/>
      </c>
      <c r="I49" s="17" t="str">
        <f>IF(B48&lt;Simulador!$F$47,PMT(Simulador!$F$41+Simulador!$F$43,Simulador!$F$47,-Simulador!$F$37)+G49,"")</f>
        <v/>
      </c>
    </row>
    <row r="50" spans="1:9" ht="17.100000000000001" customHeight="1" x14ac:dyDescent="0.25">
      <c r="A50" s="14"/>
      <c r="B50" s="13" t="str">
        <f>IF(B49&lt;Simulador!$F$47,B49+1,"")</f>
        <v/>
      </c>
      <c r="C50" s="16" t="str">
        <f>IF(B49&lt;Simulador!$F$47,H49,"")</f>
        <v/>
      </c>
      <c r="D50" s="17" t="str">
        <f>IF(Tabla1[[#This Row],[Periodo]]="","",IF(B50&lt;=Simulador!$F$47,PPMT(Simulador!$F$41+Simulador!$F$43,Cronograma!B50,Simulador!$F$47,-Simulador!$F$37),""))</f>
        <v/>
      </c>
      <c r="E50" s="17" t="str">
        <f>IF(B49&lt;Simulador!$F$47,(IPMT(Simulador!$F$41+Simulador!$F$43,Tabla1[[#This Row],[Periodo]],Simulador!$F$47,-Simulador!$F$37)-Tabla1[[#This Row],[Seguro Desgravamen]]),"")</f>
        <v/>
      </c>
      <c r="F50" s="17" t="str">
        <f>IF(B49&lt;Simulador!$F$47,C50*Simulador!$F$43,"")</f>
        <v/>
      </c>
      <c r="G50" s="16" t="str">
        <f>IF(B49&lt;Simulador!$F$47,Simulador!$F$45*Simulador!$F$12/12,"")</f>
        <v/>
      </c>
      <c r="H50" s="17" t="str">
        <f>IF(B49&lt;Simulador!$F$47,C50-D50,"")</f>
        <v/>
      </c>
      <c r="I50" s="17" t="str">
        <f>IF(B49&lt;Simulador!$F$47,PMT(Simulador!$F$41+Simulador!$F$43,Simulador!$F$47,-Simulador!$F$37)+G50,"")</f>
        <v/>
      </c>
    </row>
    <row r="51" spans="1:9" ht="17.100000000000001" customHeight="1" x14ac:dyDescent="0.25">
      <c r="A51" s="14"/>
      <c r="B51" s="13" t="str">
        <f>IF(B50&lt;Simulador!$F$47,B50+1,"")</f>
        <v/>
      </c>
      <c r="C51" s="16" t="str">
        <f>IF(B50&lt;Simulador!$F$47,H50,"")</f>
        <v/>
      </c>
      <c r="D51" s="17" t="str">
        <f>IF(Tabla1[[#This Row],[Periodo]]="","",IF(B51&lt;=Simulador!$F$47,PPMT(Simulador!$F$41+Simulador!$F$43,Cronograma!B51,Simulador!$F$47,-Simulador!$F$37),""))</f>
        <v/>
      </c>
      <c r="E51" s="17" t="str">
        <f>IF(B50&lt;Simulador!$F$47,(IPMT(Simulador!$F$41+Simulador!$F$43,Tabla1[[#This Row],[Periodo]],Simulador!$F$47,-Simulador!$F$37)-Tabla1[[#This Row],[Seguro Desgravamen]]),"")</f>
        <v/>
      </c>
      <c r="F51" s="17" t="str">
        <f>IF(B50&lt;Simulador!$F$47,C51*Simulador!$F$43,"")</f>
        <v/>
      </c>
      <c r="G51" s="16" t="str">
        <f>IF(B50&lt;Simulador!$F$47,Simulador!$F$45*Simulador!$F$12/12,"")</f>
        <v/>
      </c>
      <c r="H51" s="17" t="str">
        <f>IF(B50&lt;Simulador!$F$47,C51-D51,"")</f>
        <v/>
      </c>
      <c r="I51" s="17" t="str">
        <f>IF(B50&lt;Simulador!$F$47,PMT(Simulador!$F$41+Simulador!$F$43,Simulador!$F$47,-Simulador!$F$37)+G51,"")</f>
        <v/>
      </c>
    </row>
    <row r="52" spans="1:9" ht="17.100000000000001" customHeight="1" x14ac:dyDescent="0.25">
      <c r="A52" s="14"/>
      <c r="B52" s="13" t="str">
        <f>IF(B51&lt;Simulador!$F$47,B51+1,"")</f>
        <v/>
      </c>
      <c r="C52" s="16" t="str">
        <f>IF(B51&lt;Simulador!$F$47,H51,"")</f>
        <v/>
      </c>
      <c r="D52" s="17" t="str">
        <f>IF(Tabla1[[#This Row],[Periodo]]="","",IF(B52&lt;=Simulador!$F$47,PPMT(Simulador!$F$41+Simulador!$F$43,Cronograma!B52,Simulador!$F$47,-Simulador!$F$37),""))</f>
        <v/>
      </c>
      <c r="E52" s="17" t="str">
        <f>IF(B51&lt;Simulador!$F$47,(IPMT(Simulador!$F$41+Simulador!$F$43,Tabla1[[#This Row],[Periodo]],Simulador!$F$47,-Simulador!$F$37)-Tabla1[[#This Row],[Seguro Desgravamen]]),"")</f>
        <v/>
      </c>
      <c r="F52" s="17" t="str">
        <f>IF(B51&lt;Simulador!$F$47,C52*Simulador!$F$43,"")</f>
        <v/>
      </c>
      <c r="G52" s="16" t="str">
        <f>IF(B51&lt;Simulador!$F$47,Simulador!$F$45*Simulador!$F$12/12,"")</f>
        <v/>
      </c>
      <c r="H52" s="17" t="str">
        <f>IF(B51&lt;Simulador!$F$47,C52-D52,"")</f>
        <v/>
      </c>
      <c r="I52" s="17" t="str">
        <f>IF(B51&lt;Simulador!$F$47,PMT(Simulador!$F$41+Simulador!$F$43,Simulador!$F$47,-Simulador!$F$37)+G52,"")</f>
        <v/>
      </c>
    </row>
    <row r="53" spans="1:9" ht="17.100000000000001" customHeight="1" x14ac:dyDescent="0.25">
      <c r="A53" s="14"/>
      <c r="B53" s="13" t="str">
        <f>IF(B52&lt;Simulador!$F$47,B52+1,"")</f>
        <v/>
      </c>
      <c r="C53" s="16" t="str">
        <f>IF(B52&lt;Simulador!$F$47,H52,"")</f>
        <v/>
      </c>
      <c r="D53" s="17" t="str">
        <f>IF(Tabla1[[#This Row],[Periodo]]="","",IF(B53&lt;=Simulador!$F$47,PPMT(Simulador!$F$41+Simulador!$F$43,Cronograma!B53,Simulador!$F$47,-Simulador!$F$37),""))</f>
        <v/>
      </c>
      <c r="E53" s="17" t="str">
        <f>IF(B52&lt;Simulador!$F$47,(IPMT(Simulador!$F$41+Simulador!$F$43,Tabla1[[#This Row],[Periodo]],Simulador!$F$47,-Simulador!$F$37)-Tabla1[[#This Row],[Seguro Desgravamen]]),"")</f>
        <v/>
      </c>
      <c r="F53" s="17" t="str">
        <f>IF(B52&lt;Simulador!$F$47,C53*Simulador!$F$43,"")</f>
        <v/>
      </c>
      <c r="G53" s="16" t="str">
        <f>IF(B52&lt;Simulador!$F$47,Simulador!$F$45*Simulador!$F$12/12,"")</f>
        <v/>
      </c>
      <c r="H53" s="17" t="str">
        <f>IF(B52&lt;Simulador!$F$47,C53-D53,"")</f>
        <v/>
      </c>
      <c r="I53" s="17" t="str">
        <f>IF(B52&lt;Simulador!$F$47,PMT(Simulador!$F$41+Simulador!$F$43,Simulador!$F$47,-Simulador!$F$37)+G53,"")</f>
        <v/>
      </c>
    </row>
    <row r="54" spans="1:9" ht="17.100000000000001" customHeight="1" x14ac:dyDescent="0.25">
      <c r="A54" s="14"/>
      <c r="B54" s="13" t="str">
        <f>IF(B53&lt;Simulador!$F$47,B53+1,"")</f>
        <v/>
      </c>
      <c r="C54" s="16" t="str">
        <f>IF(B53&lt;Simulador!$F$47,H53,"")</f>
        <v/>
      </c>
      <c r="D54" s="17" t="str">
        <f>IF(Tabla1[[#This Row],[Periodo]]="","",IF(B54&lt;=Simulador!$F$47,PPMT(Simulador!$F$41+Simulador!$F$43,Cronograma!B54,Simulador!$F$47,-Simulador!$F$37),""))</f>
        <v/>
      </c>
      <c r="E54" s="17" t="str">
        <f>IF(B53&lt;Simulador!$F$47,(IPMT(Simulador!$F$41+Simulador!$F$43,Tabla1[[#This Row],[Periodo]],Simulador!$F$47,-Simulador!$F$37)-Tabla1[[#This Row],[Seguro Desgravamen]]),"")</f>
        <v/>
      </c>
      <c r="F54" s="17" t="str">
        <f>IF(B53&lt;Simulador!$F$47,C54*Simulador!$F$43,"")</f>
        <v/>
      </c>
      <c r="G54" s="16" t="str">
        <f>IF(B53&lt;Simulador!$F$47,Simulador!$F$45*Simulador!$F$12/12,"")</f>
        <v/>
      </c>
      <c r="H54" s="17" t="str">
        <f>IF(B53&lt;Simulador!$F$47,C54-D54,"")</f>
        <v/>
      </c>
      <c r="I54" s="17" t="str">
        <f>IF(B53&lt;Simulador!$F$47,PMT(Simulador!$F$41+Simulador!$F$43,Simulador!$F$47,-Simulador!$F$37)+G54,"")</f>
        <v/>
      </c>
    </row>
    <row r="55" spans="1:9" ht="17.100000000000001" customHeight="1" x14ac:dyDescent="0.25">
      <c r="A55" s="14"/>
      <c r="B55" s="13" t="str">
        <f>IF(B54&lt;Simulador!$F$47,B54+1,"")</f>
        <v/>
      </c>
      <c r="C55" s="16" t="str">
        <f>IF(B54&lt;Simulador!$F$47,H54,"")</f>
        <v/>
      </c>
      <c r="D55" s="17" t="str">
        <f>IF(Tabla1[[#This Row],[Periodo]]="","",IF(B55&lt;=Simulador!$F$47,PPMT(Simulador!$F$41+Simulador!$F$43,Cronograma!B55,Simulador!$F$47,-Simulador!$F$37),""))</f>
        <v/>
      </c>
      <c r="E55" s="17" t="str">
        <f>IF(B54&lt;Simulador!$F$47,(IPMT(Simulador!$F$41+Simulador!$F$43,Tabla1[[#This Row],[Periodo]],Simulador!$F$47,-Simulador!$F$37)-Tabla1[[#This Row],[Seguro Desgravamen]]),"")</f>
        <v/>
      </c>
      <c r="F55" s="17" t="str">
        <f>IF(B54&lt;Simulador!$F$47,C55*Simulador!$F$43,"")</f>
        <v/>
      </c>
      <c r="G55" s="16" t="str">
        <f>IF(B54&lt;Simulador!$F$47,Simulador!$F$45*Simulador!$F$12/12,"")</f>
        <v/>
      </c>
      <c r="H55" s="17" t="str">
        <f>IF(B54&lt;Simulador!$F$47,C55-D55,"")</f>
        <v/>
      </c>
      <c r="I55" s="17" t="str">
        <f>IF(B54&lt;Simulador!$F$47,PMT(Simulador!$F$41+Simulador!$F$43,Simulador!$F$47,-Simulador!$F$37)+G55,"")</f>
        <v/>
      </c>
    </row>
    <row r="56" spans="1:9" ht="17.100000000000001" customHeight="1" x14ac:dyDescent="0.25">
      <c r="A56" s="14"/>
      <c r="B56" s="13" t="str">
        <f>IF(B55&lt;Simulador!$F$47,B55+1,"")</f>
        <v/>
      </c>
      <c r="C56" s="16" t="str">
        <f>IF(B55&lt;Simulador!$F$47,H55,"")</f>
        <v/>
      </c>
      <c r="D56" s="17" t="str">
        <f>IF(Tabla1[[#This Row],[Periodo]]="","",IF(B56&lt;=Simulador!$F$47,PPMT(Simulador!$F$41+Simulador!$F$43,Cronograma!B56,Simulador!$F$47,-Simulador!$F$37),""))</f>
        <v/>
      </c>
      <c r="E56" s="17" t="str">
        <f>IF(B55&lt;Simulador!$F$47,(IPMT(Simulador!$F$41+Simulador!$F$43,Tabla1[[#This Row],[Periodo]],Simulador!$F$47,-Simulador!$F$37)-Tabla1[[#This Row],[Seguro Desgravamen]]),"")</f>
        <v/>
      </c>
      <c r="F56" s="17" t="str">
        <f>IF(B55&lt;Simulador!$F$47,C56*Simulador!$F$43,"")</f>
        <v/>
      </c>
      <c r="G56" s="16" t="str">
        <f>IF(B55&lt;Simulador!$F$47,Simulador!$F$45*Simulador!$F$12/12,"")</f>
        <v/>
      </c>
      <c r="H56" s="17" t="str">
        <f>IF(B55&lt;Simulador!$F$47,C56-D56,"")</f>
        <v/>
      </c>
      <c r="I56" s="17" t="str">
        <f>IF(B55&lt;Simulador!$F$47,PMT(Simulador!$F$41+Simulador!$F$43,Simulador!$F$47,-Simulador!$F$37)+G56,"")</f>
        <v/>
      </c>
    </row>
    <row r="57" spans="1:9" ht="17.100000000000001" customHeight="1" x14ac:dyDescent="0.25">
      <c r="A57" s="14"/>
      <c r="B57" s="13" t="str">
        <f>IF(B56&lt;Simulador!$F$47,B56+1,"")</f>
        <v/>
      </c>
      <c r="C57" s="16" t="str">
        <f>IF(B56&lt;Simulador!$F$47,H56,"")</f>
        <v/>
      </c>
      <c r="D57" s="17" t="str">
        <f>IF(Tabla1[[#This Row],[Periodo]]="","",IF(B57&lt;=Simulador!$F$47,PPMT(Simulador!$F$41+Simulador!$F$43,Cronograma!B57,Simulador!$F$47,-Simulador!$F$37),""))</f>
        <v/>
      </c>
      <c r="E57" s="17" t="str">
        <f>IF(B56&lt;Simulador!$F$47,(IPMT(Simulador!$F$41+Simulador!$F$43,Tabla1[[#This Row],[Periodo]],Simulador!$F$47,-Simulador!$F$37)-Tabla1[[#This Row],[Seguro Desgravamen]]),"")</f>
        <v/>
      </c>
      <c r="F57" s="17" t="str">
        <f>IF(B56&lt;Simulador!$F$47,C57*Simulador!$F$43,"")</f>
        <v/>
      </c>
      <c r="G57" s="16" t="str">
        <f>IF(B56&lt;Simulador!$F$47,Simulador!$F$45*Simulador!$F$12/12,"")</f>
        <v/>
      </c>
      <c r="H57" s="17" t="str">
        <f>IF(B56&lt;Simulador!$F$47,C57-D57,"")</f>
        <v/>
      </c>
      <c r="I57" s="17" t="str">
        <f>IF(B56&lt;Simulador!$F$47,PMT(Simulador!$F$41+Simulador!$F$43,Simulador!$F$47,-Simulador!$F$37)+G57,"")</f>
        <v/>
      </c>
    </row>
    <row r="58" spans="1:9" ht="17.100000000000001" customHeight="1" x14ac:dyDescent="0.25">
      <c r="A58" s="14"/>
      <c r="B58" s="13" t="str">
        <f>IF(B57&lt;Simulador!$F$47,B57+1,"")</f>
        <v/>
      </c>
      <c r="C58" s="16" t="str">
        <f>IF(B57&lt;Simulador!$F$47,H57,"")</f>
        <v/>
      </c>
      <c r="D58" s="17" t="str">
        <f>IF(Tabla1[[#This Row],[Periodo]]="","",IF(B58&lt;=Simulador!$F$47,PPMT(Simulador!$F$41+Simulador!$F$43,Cronograma!B58,Simulador!$F$47,-Simulador!$F$37),""))</f>
        <v/>
      </c>
      <c r="E58" s="17" t="str">
        <f>IF(B57&lt;Simulador!$F$47,(IPMT(Simulador!$F$41+Simulador!$F$43,Tabla1[[#This Row],[Periodo]],Simulador!$F$47,-Simulador!$F$37)-Tabla1[[#This Row],[Seguro Desgravamen]]),"")</f>
        <v/>
      </c>
      <c r="F58" s="17" t="str">
        <f>IF(B57&lt;Simulador!$F$47,C58*Simulador!$F$43,"")</f>
        <v/>
      </c>
      <c r="G58" s="16" t="str">
        <f>IF(B57&lt;Simulador!$F$47,Simulador!$F$45*Simulador!$F$12/12,"")</f>
        <v/>
      </c>
      <c r="H58" s="17" t="str">
        <f>IF(B57&lt;Simulador!$F$47,C58-D58,"")</f>
        <v/>
      </c>
      <c r="I58" s="17" t="str">
        <f>IF(B57&lt;Simulador!$F$47,PMT(Simulador!$F$41+Simulador!$F$43,Simulador!$F$47,-Simulador!$F$37)+G58,"")</f>
        <v/>
      </c>
    </row>
    <row r="59" spans="1:9" ht="17.100000000000001" customHeight="1" x14ac:dyDescent="0.25">
      <c r="A59" s="14"/>
      <c r="B59" s="13" t="str">
        <f>IF(B58&lt;Simulador!$F$47,B58+1,"")</f>
        <v/>
      </c>
      <c r="C59" s="16" t="str">
        <f>IF(B58&lt;Simulador!$F$47,H58,"")</f>
        <v/>
      </c>
      <c r="D59" s="17" t="str">
        <f>IF(Tabla1[[#This Row],[Periodo]]="","",IF(B59&lt;=Simulador!$F$47,PPMT(Simulador!$F$41+Simulador!$F$43,Cronograma!B59,Simulador!$F$47,-Simulador!$F$37),""))</f>
        <v/>
      </c>
      <c r="E59" s="17" t="str">
        <f>IF(B58&lt;Simulador!$F$47,(IPMT(Simulador!$F$41+Simulador!$F$43,Tabla1[[#This Row],[Periodo]],Simulador!$F$47,-Simulador!$F$37)-Tabla1[[#This Row],[Seguro Desgravamen]]),"")</f>
        <v/>
      </c>
      <c r="F59" s="17" t="str">
        <f>IF(B58&lt;Simulador!$F$47,C59*Simulador!$F$43,"")</f>
        <v/>
      </c>
      <c r="G59" s="16" t="str">
        <f>IF(B58&lt;Simulador!$F$47,Simulador!$F$45*Simulador!$F$12/12,"")</f>
        <v/>
      </c>
      <c r="H59" s="17" t="str">
        <f>IF(B58&lt;Simulador!$F$47,C59-D59,"")</f>
        <v/>
      </c>
      <c r="I59" s="17" t="str">
        <f>IF(B58&lt;Simulador!$F$47,PMT(Simulador!$F$41+Simulador!$F$43,Simulador!$F$47,-Simulador!$F$37)+G59,"")</f>
        <v/>
      </c>
    </row>
    <row r="60" spans="1:9" ht="17.100000000000001" customHeight="1" x14ac:dyDescent="0.25">
      <c r="A60" s="14"/>
      <c r="B60" s="13" t="str">
        <f>IF(B59&lt;Simulador!$F$47,B59+1,"")</f>
        <v/>
      </c>
      <c r="C60" s="16" t="str">
        <f>IF(B59&lt;Simulador!$F$47,H59,"")</f>
        <v/>
      </c>
      <c r="D60" s="17" t="str">
        <f>IF(Tabla1[[#This Row],[Periodo]]="","",IF(B60&lt;=Simulador!$F$47,PPMT(Simulador!$F$41+Simulador!$F$43,Cronograma!B60,Simulador!$F$47,-Simulador!$F$37),""))</f>
        <v/>
      </c>
      <c r="E60" s="17" t="str">
        <f>IF(B59&lt;Simulador!$F$47,(IPMT(Simulador!$F$41+Simulador!$F$43,Tabla1[[#This Row],[Periodo]],Simulador!$F$47,-Simulador!$F$37)-Tabla1[[#This Row],[Seguro Desgravamen]]),"")</f>
        <v/>
      </c>
      <c r="F60" s="17" t="str">
        <f>IF(B59&lt;Simulador!$F$47,C60*Simulador!$F$43,"")</f>
        <v/>
      </c>
      <c r="G60" s="16" t="str">
        <f>IF(B59&lt;Simulador!$F$47,Simulador!$F$45*Simulador!$F$12/12,"")</f>
        <v/>
      </c>
      <c r="H60" s="17" t="str">
        <f>IF(B59&lt;Simulador!$F$47,C60-D60,"")</f>
        <v/>
      </c>
      <c r="I60" s="17" t="str">
        <f>IF(B59&lt;Simulador!$F$47,PMT(Simulador!$F$41+Simulador!$F$43,Simulador!$F$47,-Simulador!$F$37)+G60,"")</f>
        <v/>
      </c>
    </row>
    <row r="61" spans="1:9" ht="17.100000000000001" customHeight="1" x14ac:dyDescent="0.25">
      <c r="A61" s="14"/>
      <c r="B61" s="13" t="str">
        <f>IF(B60&lt;Simulador!$F$47,B60+1,"")</f>
        <v/>
      </c>
      <c r="C61" s="16" t="str">
        <f>IF(B60&lt;Simulador!$F$47,H60,"")</f>
        <v/>
      </c>
      <c r="D61" s="17" t="str">
        <f>IF(Tabla1[[#This Row],[Periodo]]="","",IF(B61&lt;=Simulador!$F$47,PPMT(Simulador!$F$41+Simulador!$F$43,Cronograma!B61,Simulador!$F$47,-Simulador!$F$37),""))</f>
        <v/>
      </c>
      <c r="E61" s="17" t="str">
        <f>IF(B60&lt;Simulador!$F$47,(IPMT(Simulador!$F$41+Simulador!$F$43,Tabla1[[#This Row],[Periodo]],Simulador!$F$47,-Simulador!$F$37)-Tabla1[[#This Row],[Seguro Desgravamen]]),"")</f>
        <v/>
      </c>
      <c r="F61" s="17" t="str">
        <f>IF(B60&lt;Simulador!$F$47,C61*Simulador!$F$43,"")</f>
        <v/>
      </c>
      <c r="G61" s="16" t="str">
        <f>IF(B60&lt;Simulador!$F$47,Simulador!$F$45*Simulador!$F$12/12,"")</f>
        <v/>
      </c>
      <c r="H61" s="17" t="str">
        <f>IF(B60&lt;Simulador!$F$47,C61-D61,"")</f>
        <v/>
      </c>
      <c r="I61" s="17" t="str">
        <f>IF(B60&lt;Simulador!$F$47,PMT(Simulador!$F$41+Simulador!$F$43,Simulador!$F$47,-Simulador!$F$37)+G61,"")</f>
        <v/>
      </c>
    </row>
    <row r="62" spans="1:9" ht="17.100000000000001" customHeight="1" x14ac:dyDescent="0.25">
      <c r="A62" s="14"/>
      <c r="B62" s="13" t="str">
        <f>IF(B61&lt;Simulador!$F$47,B61+1,"")</f>
        <v/>
      </c>
      <c r="C62" s="16" t="str">
        <f>IF(B61&lt;Simulador!$F$47,H61,"")</f>
        <v/>
      </c>
      <c r="D62" s="17" t="str">
        <f>IF(Tabla1[[#This Row],[Periodo]]="","",IF(B62&lt;=Simulador!$F$47,PPMT(Simulador!$F$41+Simulador!$F$43,Cronograma!B62,Simulador!$F$47,-Simulador!$F$37),""))</f>
        <v/>
      </c>
      <c r="E62" s="17" t="str">
        <f>IF(B61&lt;Simulador!$F$47,(IPMT(Simulador!$F$41+Simulador!$F$43,Tabla1[[#This Row],[Periodo]],Simulador!$F$47,-Simulador!$F$37)-Tabla1[[#This Row],[Seguro Desgravamen]]),"")</f>
        <v/>
      </c>
      <c r="F62" s="17" t="str">
        <f>IF(B61&lt;Simulador!$F$47,C62*Simulador!$F$43,"")</f>
        <v/>
      </c>
      <c r="G62" s="16" t="str">
        <f>IF(B61&lt;Simulador!$F$47,Simulador!$F$45*Simulador!$F$12/12,"")</f>
        <v/>
      </c>
      <c r="H62" s="17" t="str">
        <f>IF(B61&lt;Simulador!$F$47,C62-D62,"")</f>
        <v/>
      </c>
      <c r="I62" s="17" t="str">
        <f>IF(B61&lt;Simulador!$F$47,PMT(Simulador!$F$41+Simulador!$F$43,Simulador!$F$47,-Simulador!$F$37)+G62,"")</f>
        <v/>
      </c>
    </row>
    <row r="63" spans="1:9" ht="17.100000000000001" customHeight="1" x14ac:dyDescent="0.25">
      <c r="A63" s="14"/>
      <c r="B63" s="13" t="str">
        <f>IF(B62&lt;Simulador!$F$47,B62+1,"")</f>
        <v/>
      </c>
      <c r="C63" s="16" t="str">
        <f>IF(B62&lt;Simulador!$F$47,H62,"")</f>
        <v/>
      </c>
      <c r="D63" s="17" t="str">
        <f>IF(Tabla1[[#This Row],[Periodo]]="","",IF(B63&lt;=Simulador!$F$47,PPMT(Simulador!$F$41+Simulador!$F$43,Cronograma!B63,Simulador!$F$47,-Simulador!$F$37),""))</f>
        <v/>
      </c>
      <c r="E63" s="17" t="str">
        <f>IF(B62&lt;Simulador!$F$47,(IPMT(Simulador!$F$41+Simulador!$F$43,Tabla1[[#This Row],[Periodo]],Simulador!$F$47,-Simulador!$F$37)-Tabla1[[#This Row],[Seguro Desgravamen]]),"")</f>
        <v/>
      </c>
      <c r="F63" s="17" t="str">
        <f>IF(B62&lt;Simulador!$F$47,C63*Simulador!$F$43,"")</f>
        <v/>
      </c>
      <c r="G63" s="16" t="str">
        <f>IF(B62&lt;Simulador!$F$47,Simulador!$F$45*Simulador!$F$12/12,"")</f>
        <v/>
      </c>
      <c r="H63" s="17" t="str">
        <f>IF(B62&lt;Simulador!$F$47,C63-D63,"")</f>
        <v/>
      </c>
      <c r="I63" s="17" t="str">
        <f>IF(B62&lt;Simulador!$F$47,PMT(Simulador!$F$41+Simulador!$F$43,Simulador!$F$47,-Simulador!$F$37)+G63,"")</f>
        <v/>
      </c>
    </row>
    <row r="64" spans="1:9" ht="17.100000000000001" customHeight="1" x14ac:dyDescent="0.25">
      <c r="A64" s="14"/>
      <c r="B64" s="13" t="str">
        <f>IF(B63&lt;Simulador!$F$47,B63+1,"")</f>
        <v/>
      </c>
      <c r="C64" s="16" t="str">
        <f>IF(B63&lt;Simulador!$F$47,H63,"")</f>
        <v/>
      </c>
      <c r="D64" s="17" t="str">
        <f>IF(Tabla1[[#This Row],[Periodo]]="","",IF(B64&lt;=Simulador!$F$47,PPMT(Simulador!$F$41+Simulador!$F$43,Cronograma!B64,Simulador!$F$47,-Simulador!$F$37),""))</f>
        <v/>
      </c>
      <c r="E64" s="17" t="str">
        <f>IF(B63&lt;Simulador!$F$47,(IPMT(Simulador!$F$41+Simulador!$F$43,Tabla1[[#This Row],[Periodo]],Simulador!$F$47,-Simulador!$F$37)-Tabla1[[#This Row],[Seguro Desgravamen]]),"")</f>
        <v/>
      </c>
      <c r="F64" s="17" t="str">
        <f>IF(B63&lt;Simulador!$F$47,C64*Simulador!$F$43,"")</f>
        <v/>
      </c>
      <c r="G64" s="16" t="str">
        <f>IF(B63&lt;Simulador!$F$47,Simulador!$F$45*Simulador!$F$12/12,"")</f>
        <v/>
      </c>
      <c r="H64" s="17" t="str">
        <f>IF(B63&lt;Simulador!$F$47,C64-D64,"")</f>
        <v/>
      </c>
      <c r="I64" s="17" t="str">
        <f>IF(B63&lt;Simulador!$F$47,PMT(Simulador!$F$41+Simulador!$F$43,Simulador!$F$47,-Simulador!$F$37)+G64,"")</f>
        <v/>
      </c>
    </row>
    <row r="65" spans="1:9" ht="17.100000000000001" customHeight="1" x14ac:dyDescent="0.25">
      <c r="A65" s="14"/>
      <c r="B65" s="13" t="str">
        <f>IF(B64&lt;Simulador!$F$47,B64+1,"")</f>
        <v/>
      </c>
      <c r="C65" s="16" t="str">
        <f>IF(B64&lt;Simulador!$F$47,H64,"")</f>
        <v/>
      </c>
      <c r="D65" s="17" t="str">
        <f>IF(Tabla1[[#This Row],[Periodo]]="","",IF(B65&lt;=Simulador!$F$47,PPMT(Simulador!$F$41+Simulador!$F$43,Cronograma!B65,Simulador!$F$47,-Simulador!$F$37),""))</f>
        <v/>
      </c>
      <c r="E65" s="17" t="str">
        <f>IF(B64&lt;Simulador!$F$47,(IPMT(Simulador!$F$41+Simulador!$F$43,Tabla1[[#This Row],[Periodo]],Simulador!$F$47,-Simulador!$F$37)-Tabla1[[#This Row],[Seguro Desgravamen]]),"")</f>
        <v/>
      </c>
      <c r="F65" s="17" t="str">
        <f>IF(B64&lt;Simulador!$F$47,C65*Simulador!$F$43,"")</f>
        <v/>
      </c>
      <c r="G65" s="16" t="str">
        <f>IF(B64&lt;Simulador!$F$47,Simulador!$F$45*Simulador!$F$12/12,"")</f>
        <v/>
      </c>
      <c r="H65" s="17" t="str">
        <f>IF(B64&lt;Simulador!$F$47,C65-D65,"")</f>
        <v/>
      </c>
      <c r="I65" s="17" t="str">
        <f>IF(B64&lt;Simulador!$F$47,PMT(Simulador!$F$41+Simulador!$F$43,Simulador!$F$47,-Simulador!$F$37)+G65,"")</f>
        <v/>
      </c>
    </row>
    <row r="66" spans="1:9" ht="17.100000000000001" customHeight="1" x14ac:dyDescent="0.25">
      <c r="A66" s="14"/>
      <c r="B66" s="13" t="str">
        <f>IF(B65&lt;Simulador!$F$47,B65+1,"")</f>
        <v/>
      </c>
      <c r="C66" s="16" t="str">
        <f>IF(B65&lt;Simulador!$F$47,H65,"")</f>
        <v/>
      </c>
      <c r="D66" s="17" t="str">
        <f>IF(Tabla1[[#This Row],[Periodo]]="","",IF(B66&lt;=Simulador!$F$47,PPMT(Simulador!$F$41+Simulador!$F$43,Cronograma!B66,Simulador!$F$47,-Simulador!$F$37),""))</f>
        <v/>
      </c>
      <c r="E66" s="17" t="str">
        <f>IF(B65&lt;Simulador!$F$47,(IPMT(Simulador!$F$41+Simulador!$F$43,Tabla1[[#This Row],[Periodo]],Simulador!$F$47,-Simulador!$F$37)-Tabla1[[#This Row],[Seguro Desgravamen]]),"")</f>
        <v/>
      </c>
      <c r="F66" s="17" t="str">
        <f>IF(B65&lt;Simulador!$F$47,C66*Simulador!$F$43,"")</f>
        <v/>
      </c>
      <c r="G66" s="16" t="str">
        <f>IF(B65&lt;Simulador!$F$47,Simulador!$F$45*Simulador!$F$12/12,"")</f>
        <v/>
      </c>
      <c r="H66" s="17" t="str">
        <f>IF(B65&lt;Simulador!$F$47,C66-D66,"")</f>
        <v/>
      </c>
      <c r="I66" s="17" t="str">
        <f>IF(B65&lt;Simulador!$F$47,PMT(Simulador!$F$41+Simulador!$F$43,Simulador!$F$47,-Simulador!$F$37)+G66,"")</f>
        <v/>
      </c>
    </row>
    <row r="67" spans="1:9" ht="17.100000000000001" customHeight="1" x14ac:dyDescent="0.25">
      <c r="A67" s="14"/>
      <c r="B67" s="13" t="str">
        <f>IF(B66&lt;Simulador!$F$47,B66+1,"")</f>
        <v/>
      </c>
      <c r="C67" s="16" t="str">
        <f>IF(B66&lt;Simulador!$F$47,H66,"")</f>
        <v/>
      </c>
      <c r="D67" s="17" t="str">
        <f>IF(Tabla1[[#This Row],[Periodo]]="","",IF(B67&lt;=Simulador!$F$47,PPMT(Simulador!$F$41+Simulador!$F$43,Cronograma!B67,Simulador!$F$47,-Simulador!$F$37),""))</f>
        <v/>
      </c>
      <c r="E67" s="17" t="str">
        <f>IF(B66&lt;Simulador!$F$47,(IPMT(Simulador!$F$41+Simulador!$F$43,Tabla1[[#This Row],[Periodo]],Simulador!$F$47,-Simulador!$F$37)-Tabla1[[#This Row],[Seguro Desgravamen]]),"")</f>
        <v/>
      </c>
      <c r="F67" s="17" t="str">
        <f>IF(B66&lt;Simulador!$F$47,C67*Simulador!$F$43,"")</f>
        <v/>
      </c>
      <c r="G67" s="16" t="str">
        <f>IF(B66&lt;Simulador!$F$47,Simulador!$F$45*Simulador!$F$12/12,"")</f>
        <v/>
      </c>
      <c r="H67" s="17" t="str">
        <f>IF(B66&lt;Simulador!$F$47,C67-D67,"")</f>
        <v/>
      </c>
      <c r="I67" s="17" t="str">
        <f>IF(B66&lt;Simulador!$F$47,PMT(Simulador!$F$41+Simulador!$F$43,Simulador!$F$47,-Simulador!$F$37)+G67,"")</f>
        <v/>
      </c>
    </row>
    <row r="68" spans="1:9" ht="17.100000000000001" customHeight="1" x14ac:dyDescent="0.25">
      <c r="A68" s="14"/>
      <c r="B68" s="13" t="str">
        <f>IF(B67&lt;Simulador!$F$47,B67+1,"")</f>
        <v/>
      </c>
      <c r="C68" s="16" t="str">
        <f>IF(B67&lt;Simulador!$F$47,H67,"")</f>
        <v/>
      </c>
      <c r="D68" s="17" t="str">
        <f>IF(Tabla1[[#This Row],[Periodo]]="","",IF(B68&lt;=Simulador!$F$47,PPMT(Simulador!$F$41+Simulador!$F$43,Cronograma!B68,Simulador!$F$47,-Simulador!$F$37),""))</f>
        <v/>
      </c>
      <c r="E68" s="17" t="str">
        <f>IF(B67&lt;Simulador!$F$47,(IPMT(Simulador!$F$41+Simulador!$F$43,Tabla1[[#This Row],[Periodo]],Simulador!$F$47,-Simulador!$F$37)-Tabla1[[#This Row],[Seguro Desgravamen]]),"")</f>
        <v/>
      </c>
      <c r="F68" s="17" t="str">
        <f>IF(B67&lt;Simulador!$F$47,C68*Simulador!$F$43,"")</f>
        <v/>
      </c>
      <c r="G68" s="16" t="str">
        <f>IF(B67&lt;Simulador!$F$47,Simulador!$F$45*Simulador!$F$12/12,"")</f>
        <v/>
      </c>
      <c r="H68" s="17" t="str">
        <f>IF(B67&lt;Simulador!$F$47,C68-D68,"")</f>
        <v/>
      </c>
      <c r="I68" s="17" t="str">
        <f>IF(B67&lt;Simulador!$F$47,PMT(Simulador!$F$41+Simulador!$F$43,Simulador!$F$47,-Simulador!$F$37)+G68,"")</f>
        <v/>
      </c>
    </row>
    <row r="69" spans="1:9" ht="17.100000000000001" customHeight="1" x14ac:dyDescent="0.25">
      <c r="A69" s="14"/>
      <c r="B69" s="13" t="str">
        <f>IF(B68&lt;Simulador!$F$47,B68+1,"")</f>
        <v/>
      </c>
      <c r="C69" s="16" t="str">
        <f>IF(B68&lt;Simulador!$F$47,H68,"")</f>
        <v/>
      </c>
      <c r="D69" s="17" t="str">
        <f>IF(Tabla1[[#This Row],[Periodo]]="","",IF(B69&lt;=Simulador!$F$47,PPMT(Simulador!$F$41+Simulador!$F$43,Cronograma!B69,Simulador!$F$47,-Simulador!$F$37),""))</f>
        <v/>
      </c>
      <c r="E69" s="17" t="str">
        <f>IF(B68&lt;Simulador!$F$47,(IPMT(Simulador!$F$41+Simulador!$F$43,Tabla1[[#This Row],[Periodo]],Simulador!$F$47,-Simulador!$F$37)-Tabla1[[#This Row],[Seguro Desgravamen]]),"")</f>
        <v/>
      </c>
      <c r="F69" s="17" t="str">
        <f>IF(B68&lt;Simulador!$F$47,C69*Simulador!$F$43,"")</f>
        <v/>
      </c>
      <c r="G69" s="16" t="str">
        <f>IF(B68&lt;Simulador!$F$47,Simulador!$F$45*Simulador!$F$12/12,"")</f>
        <v/>
      </c>
      <c r="H69" s="17" t="str">
        <f>IF(B68&lt;Simulador!$F$47,C69-D69,"")</f>
        <v/>
      </c>
      <c r="I69" s="17" t="str">
        <f>IF(B68&lt;Simulador!$F$47,PMT(Simulador!$F$41+Simulador!$F$43,Simulador!$F$47,-Simulador!$F$37)+G69,"")</f>
        <v/>
      </c>
    </row>
    <row r="70" spans="1:9" ht="17.100000000000001" customHeight="1" x14ac:dyDescent="0.25">
      <c r="A70" s="14"/>
      <c r="B70" s="13" t="str">
        <f>IF(B69&lt;Simulador!$F$47,B69+1,"")</f>
        <v/>
      </c>
      <c r="C70" s="16" t="str">
        <f>IF(B69&lt;Simulador!$F$47,H69,"")</f>
        <v/>
      </c>
      <c r="D70" s="17" t="str">
        <f>IF(Tabla1[[#This Row],[Periodo]]="","",IF(B70&lt;=Simulador!$F$47,PPMT(Simulador!$F$41+Simulador!$F$43,Cronograma!B70,Simulador!$F$47,-Simulador!$F$37),""))</f>
        <v/>
      </c>
      <c r="E70" s="17" t="str">
        <f>IF(B69&lt;Simulador!$F$47,(IPMT(Simulador!$F$41+Simulador!$F$43,Tabla1[[#This Row],[Periodo]],Simulador!$F$47,-Simulador!$F$37)-Tabla1[[#This Row],[Seguro Desgravamen]]),"")</f>
        <v/>
      </c>
      <c r="F70" s="17" t="str">
        <f>IF(B69&lt;Simulador!$F$47,C70*Simulador!$F$43,"")</f>
        <v/>
      </c>
      <c r="G70" s="16" t="str">
        <f>IF(B69&lt;Simulador!$F$47,Simulador!$F$45*Simulador!$F$12/12,"")</f>
        <v/>
      </c>
      <c r="H70" s="17" t="str">
        <f>IF(B69&lt;Simulador!$F$47,C70-D70,"")</f>
        <v/>
      </c>
      <c r="I70" s="17" t="str">
        <f>IF(B69&lt;Simulador!$F$47,PMT(Simulador!$F$41+Simulador!$F$43,Simulador!$F$47,-Simulador!$F$37)+G70,"")</f>
        <v/>
      </c>
    </row>
    <row r="71" spans="1:9" ht="17.100000000000001" customHeight="1" x14ac:dyDescent="0.25">
      <c r="A71" s="14"/>
      <c r="B71" s="13" t="str">
        <f>IF(B70&lt;Simulador!$F$47,B70+1,"")</f>
        <v/>
      </c>
      <c r="C71" s="16" t="str">
        <f>IF(B70&lt;Simulador!$F$47,H70,"")</f>
        <v/>
      </c>
      <c r="D71" s="17" t="str">
        <f>IF(Tabla1[[#This Row],[Periodo]]="","",IF(B71&lt;=Simulador!$F$47,PPMT(Simulador!$F$41+Simulador!$F$43,Cronograma!B71,Simulador!$F$47,-Simulador!$F$37),""))</f>
        <v/>
      </c>
      <c r="E71" s="17" t="str">
        <f>IF(B70&lt;Simulador!$F$47,(IPMT(Simulador!$F$41+Simulador!$F$43,Tabla1[[#This Row],[Periodo]],Simulador!$F$47,-Simulador!$F$37)-Tabla1[[#This Row],[Seguro Desgravamen]]),"")</f>
        <v/>
      </c>
      <c r="F71" s="17" t="str">
        <f>IF(B70&lt;Simulador!$F$47,C71*Simulador!$F$43,"")</f>
        <v/>
      </c>
      <c r="G71" s="16" t="str">
        <f>IF(B70&lt;Simulador!$F$47,Simulador!$F$45*Simulador!$F$12/12,"")</f>
        <v/>
      </c>
      <c r="H71" s="17" t="str">
        <f>IF(B70&lt;Simulador!$F$47,C71-D71,"")</f>
        <v/>
      </c>
      <c r="I71" s="17" t="str">
        <f>IF(B70&lt;Simulador!$F$47,PMT(Simulador!$F$41+Simulador!$F$43,Simulador!$F$47,-Simulador!$F$37)+G71,"")</f>
        <v/>
      </c>
    </row>
    <row r="72" spans="1:9" ht="17.100000000000001" customHeight="1" x14ac:dyDescent="0.25">
      <c r="A72" s="14"/>
      <c r="B72" s="13" t="str">
        <f>IF(B71&lt;Simulador!$F$47,B71+1,"")</f>
        <v/>
      </c>
      <c r="C72" s="16" t="str">
        <f>IF(B71&lt;Simulador!$F$47,H71,"")</f>
        <v/>
      </c>
      <c r="D72" s="17" t="str">
        <f>IF(Tabla1[[#This Row],[Periodo]]="","",IF(B72&lt;=Simulador!$F$47,PPMT(Simulador!$F$41+Simulador!$F$43,Cronograma!B72,Simulador!$F$47,-Simulador!$F$37),""))</f>
        <v/>
      </c>
      <c r="E72" s="17" t="str">
        <f>IF(B71&lt;Simulador!$F$47,(IPMT(Simulador!$F$41+Simulador!$F$43,Tabla1[[#This Row],[Periodo]],Simulador!$F$47,-Simulador!$F$37)-Tabla1[[#This Row],[Seguro Desgravamen]]),"")</f>
        <v/>
      </c>
      <c r="F72" s="17" t="str">
        <f>IF(B71&lt;Simulador!$F$47,C72*Simulador!$F$43,"")</f>
        <v/>
      </c>
      <c r="G72" s="16" t="str">
        <f>IF(B71&lt;Simulador!$F$47,Simulador!$F$45*Simulador!$F$12/12,"")</f>
        <v/>
      </c>
      <c r="H72" s="17" t="str">
        <f>IF(B71&lt;Simulador!$F$47,C72-D72,"")</f>
        <v/>
      </c>
      <c r="I72" s="17" t="str">
        <f>IF(B71&lt;Simulador!$F$47,PMT(Simulador!$F$41+Simulador!$F$43,Simulador!$F$47,-Simulador!$F$37)+G72,"")</f>
        <v/>
      </c>
    </row>
    <row r="73" spans="1:9" ht="17.100000000000001" customHeight="1" x14ac:dyDescent="0.25">
      <c r="A73" s="14"/>
      <c r="B73" s="13" t="str">
        <f>IF(B72&lt;Simulador!$F$47,B72+1,"")</f>
        <v/>
      </c>
      <c r="C73" s="16" t="str">
        <f>IF(B72&lt;Simulador!$F$47,H72,"")</f>
        <v/>
      </c>
      <c r="D73" s="17" t="str">
        <f>IF(Tabla1[[#This Row],[Periodo]]="","",IF(B73&lt;=Simulador!$F$47,PPMT(Simulador!$F$41+Simulador!$F$43,Cronograma!B73,Simulador!$F$47,-Simulador!$F$37),""))</f>
        <v/>
      </c>
      <c r="E73" s="17" t="str">
        <f>IF(B72&lt;Simulador!$F$47,(IPMT(Simulador!$F$41+Simulador!$F$43,Tabla1[[#This Row],[Periodo]],Simulador!$F$47,-Simulador!$F$37)-Tabla1[[#This Row],[Seguro Desgravamen]]),"")</f>
        <v/>
      </c>
      <c r="F73" s="17" t="str">
        <f>IF(B72&lt;Simulador!$F$47,C73*Simulador!$F$43,"")</f>
        <v/>
      </c>
      <c r="G73" s="16" t="str">
        <f>IF(B72&lt;Simulador!$F$47,Simulador!$F$45*Simulador!$F$12/12,"")</f>
        <v/>
      </c>
      <c r="H73" s="17" t="str">
        <f>IF(B72&lt;Simulador!$F$47,C73-D73,"")</f>
        <v/>
      </c>
      <c r="I73" s="17" t="str">
        <f>IF(B72&lt;Simulador!$F$47,PMT(Simulador!$F$41+Simulador!$F$43,Simulador!$F$47,-Simulador!$F$37)+G73,"")</f>
        <v/>
      </c>
    </row>
    <row r="74" spans="1:9" ht="17.100000000000001" customHeight="1" x14ac:dyDescent="0.25">
      <c r="A74" s="14"/>
      <c r="B74" s="13" t="str">
        <f>IF(B73&lt;Simulador!$F$47,B73+1,"")</f>
        <v/>
      </c>
      <c r="C74" s="16" t="str">
        <f>IF(B73&lt;Simulador!$F$47,H73,"")</f>
        <v/>
      </c>
      <c r="D74" s="17" t="str">
        <f>IF(Tabla1[[#This Row],[Periodo]]="","",IF(B74&lt;=Simulador!$F$47,PPMT(Simulador!$F$41+Simulador!$F$43,Cronograma!B74,Simulador!$F$47,-Simulador!$F$37),""))</f>
        <v/>
      </c>
      <c r="E74" s="17" t="str">
        <f>IF(B73&lt;Simulador!$F$47,(IPMT(Simulador!$F$41+Simulador!$F$43,Tabla1[[#This Row],[Periodo]],Simulador!$F$47,-Simulador!$F$37)-Tabla1[[#This Row],[Seguro Desgravamen]]),"")</f>
        <v/>
      </c>
      <c r="F74" s="17" t="str">
        <f>IF(B73&lt;Simulador!$F$47,C74*Simulador!$F$43,"")</f>
        <v/>
      </c>
      <c r="G74" s="16" t="str">
        <f>IF(B73&lt;Simulador!$F$47,Simulador!$F$45*Simulador!$F$12/12,"")</f>
        <v/>
      </c>
      <c r="H74" s="17" t="str">
        <f>IF(B73&lt;Simulador!$F$47,C74-D74,"")</f>
        <v/>
      </c>
      <c r="I74" s="17" t="str">
        <f>IF(B73&lt;Simulador!$F$47,PMT(Simulador!$F$41+Simulador!$F$43,Simulador!$F$47,-Simulador!$F$37)+G74,"")</f>
        <v/>
      </c>
    </row>
    <row r="75" spans="1:9" ht="17.100000000000001" customHeight="1" x14ac:dyDescent="0.25">
      <c r="A75" s="14"/>
      <c r="B75" s="13" t="str">
        <f>IF(B74&lt;Simulador!$F$47,B74+1,"")</f>
        <v/>
      </c>
      <c r="C75" s="16" t="str">
        <f>IF(B74&lt;Simulador!$F$47,H74,"")</f>
        <v/>
      </c>
      <c r="D75" s="17" t="str">
        <f>IF(Tabla1[[#This Row],[Periodo]]="","",IF(B75&lt;=Simulador!$F$47,PPMT(Simulador!$F$41+Simulador!$F$43,Cronograma!B75,Simulador!$F$47,-Simulador!$F$37),""))</f>
        <v/>
      </c>
      <c r="E75" s="17" t="str">
        <f>IF(B74&lt;Simulador!$F$47,(IPMT(Simulador!$F$41+Simulador!$F$43,Tabla1[[#This Row],[Periodo]],Simulador!$F$47,-Simulador!$F$37)-Tabla1[[#This Row],[Seguro Desgravamen]]),"")</f>
        <v/>
      </c>
      <c r="F75" s="17" t="str">
        <f>IF(B74&lt;Simulador!$F$47,C75*Simulador!$F$43,"")</f>
        <v/>
      </c>
      <c r="G75" s="16" t="str">
        <f>IF(B74&lt;Simulador!$F$47,Simulador!$F$45*Simulador!$F$12/12,"")</f>
        <v/>
      </c>
      <c r="H75" s="17" t="str">
        <f>IF(B74&lt;Simulador!$F$47,C75-D75,"")</f>
        <v/>
      </c>
      <c r="I75" s="17" t="str">
        <f>IF(B74&lt;Simulador!$F$47,PMT(Simulador!$F$41+Simulador!$F$43,Simulador!$F$47,-Simulador!$F$37)+G75,"")</f>
        <v/>
      </c>
    </row>
    <row r="76" spans="1:9" ht="17.100000000000001" customHeight="1" x14ac:dyDescent="0.25">
      <c r="A76" s="14"/>
      <c r="B76" s="13" t="str">
        <f>IF(B75&lt;Simulador!$F$47,B75+1,"")</f>
        <v/>
      </c>
      <c r="C76" s="16" t="str">
        <f>IF(B75&lt;Simulador!$F$47,H75,"")</f>
        <v/>
      </c>
      <c r="D76" s="17" t="str">
        <f>IF(Tabla1[[#This Row],[Periodo]]="","",IF(B76&lt;=Simulador!$F$47,PPMT(Simulador!$F$41+Simulador!$F$43,Cronograma!B76,Simulador!$F$47,-Simulador!$F$37),""))</f>
        <v/>
      </c>
      <c r="E76" s="17" t="str">
        <f>IF(B75&lt;Simulador!$F$47,(IPMT(Simulador!$F$41+Simulador!$F$43,Tabla1[[#This Row],[Periodo]],Simulador!$F$47,-Simulador!$F$37)-Tabla1[[#This Row],[Seguro Desgravamen]]),"")</f>
        <v/>
      </c>
      <c r="F76" s="17" t="str">
        <f>IF(B75&lt;Simulador!$F$47,C76*Simulador!$F$43,"")</f>
        <v/>
      </c>
      <c r="G76" s="16" t="str">
        <f>IF(B75&lt;Simulador!$F$47,Simulador!$F$45*Simulador!$F$12/12,"")</f>
        <v/>
      </c>
      <c r="H76" s="17" t="str">
        <f>IF(B75&lt;Simulador!$F$47,C76-D76,"")</f>
        <v/>
      </c>
      <c r="I76" s="17" t="str">
        <f>IF(B75&lt;Simulador!$F$47,PMT(Simulador!$F$41+Simulador!$F$43,Simulador!$F$47,-Simulador!$F$37)+G76,"")</f>
        <v/>
      </c>
    </row>
    <row r="77" spans="1:9" ht="17.100000000000001" customHeight="1" x14ac:dyDescent="0.25">
      <c r="A77" s="14"/>
      <c r="B77" s="13" t="str">
        <f>IF(B76&lt;Simulador!$F$47,B76+1,"")</f>
        <v/>
      </c>
      <c r="C77" s="16" t="str">
        <f>IF(B76&lt;Simulador!$F$47,H76,"")</f>
        <v/>
      </c>
      <c r="D77" s="17" t="str">
        <f>IF(Tabla1[[#This Row],[Periodo]]="","",IF(B77&lt;=Simulador!$F$47,PPMT(Simulador!$F$41+Simulador!$F$43,Cronograma!B77,Simulador!$F$47,-Simulador!$F$37),""))</f>
        <v/>
      </c>
      <c r="E77" s="17" t="str">
        <f>IF(B76&lt;Simulador!$F$47,(IPMT(Simulador!$F$41+Simulador!$F$43,Tabla1[[#This Row],[Periodo]],Simulador!$F$47,-Simulador!$F$37)-Tabla1[[#This Row],[Seguro Desgravamen]]),"")</f>
        <v/>
      </c>
      <c r="F77" s="17" t="str">
        <f>IF(B76&lt;Simulador!$F$47,C77*Simulador!$F$43,"")</f>
        <v/>
      </c>
      <c r="G77" s="16" t="str">
        <f>IF(B76&lt;Simulador!$F$47,Simulador!$F$45*Simulador!$F$12/12,"")</f>
        <v/>
      </c>
      <c r="H77" s="17" t="str">
        <f>IF(B76&lt;Simulador!$F$47,C77-D77,"")</f>
        <v/>
      </c>
      <c r="I77" s="17" t="str">
        <f>IF(B76&lt;Simulador!$F$47,PMT(Simulador!$F$41+Simulador!$F$43,Simulador!$F$47,-Simulador!$F$37)+G77,"")</f>
        <v/>
      </c>
    </row>
    <row r="78" spans="1:9" ht="17.100000000000001" customHeight="1" x14ac:dyDescent="0.25">
      <c r="A78" s="14"/>
      <c r="B78" s="13" t="str">
        <f>IF(B77&lt;Simulador!$F$47,B77+1,"")</f>
        <v/>
      </c>
      <c r="C78" s="16" t="str">
        <f>IF(B77&lt;Simulador!$F$47,H77,"")</f>
        <v/>
      </c>
      <c r="D78" s="17" t="str">
        <f>IF(Tabla1[[#This Row],[Periodo]]="","",IF(B78&lt;=Simulador!$F$47,PPMT(Simulador!$F$41+Simulador!$F$43,Cronograma!B78,Simulador!$F$47,-Simulador!$F$37),""))</f>
        <v/>
      </c>
      <c r="E78" s="17" t="str">
        <f>IF(B77&lt;Simulador!$F$47,(IPMT(Simulador!$F$41+Simulador!$F$43,Tabla1[[#This Row],[Periodo]],Simulador!$F$47,-Simulador!$F$37)-Tabla1[[#This Row],[Seguro Desgravamen]]),"")</f>
        <v/>
      </c>
      <c r="F78" s="17" t="str">
        <f>IF(B77&lt;Simulador!$F$47,C78*Simulador!$F$43,"")</f>
        <v/>
      </c>
      <c r="G78" s="16" t="str">
        <f>IF(B77&lt;Simulador!$F$47,Simulador!$F$45*Simulador!$F$12/12,"")</f>
        <v/>
      </c>
      <c r="H78" s="17" t="str">
        <f>IF(B77&lt;Simulador!$F$47,C78-D78,"")</f>
        <v/>
      </c>
      <c r="I78" s="17" t="str">
        <f>IF(B77&lt;Simulador!$F$47,PMT(Simulador!$F$41+Simulador!$F$43,Simulador!$F$47,-Simulador!$F$37)+G78,"")</f>
        <v/>
      </c>
    </row>
    <row r="79" spans="1:9" ht="17.100000000000001" customHeight="1" x14ac:dyDescent="0.25">
      <c r="A79" s="14"/>
      <c r="B79" s="13" t="str">
        <f>IF(B78&lt;Simulador!$F$47,B78+1,"")</f>
        <v/>
      </c>
      <c r="C79" s="16" t="str">
        <f>IF(B78&lt;Simulador!$F$47,H78,"")</f>
        <v/>
      </c>
      <c r="D79" s="17" t="str">
        <f>IF(Tabla1[[#This Row],[Periodo]]="","",IF(B79&lt;=Simulador!$F$47,PPMT(Simulador!$F$41+Simulador!$F$43,Cronograma!B79,Simulador!$F$47,-Simulador!$F$37),""))</f>
        <v/>
      </c>
      <c r="E79" s="17" t="str">
        <f>IF(B78&lt;Simulador!$F$47,(IPMT(Simulador!$F$41+Simulador!$F$43,Tabla1[[#This Row],[Periodo]],Simulador!$F$47,-Simulador!$F$37)-Tabla1[[#This Row],[Seguro Desgravamen]]),"")</f>
        <v/>
      </c>
      <c r="F79" s="17" t="str">
        <f>IF(B78&lt;Simulador!$F$47,C79*Simulador!$F$43,"")</f>
        <v/>
      </c>
      <c r="G79" s="16" t="str">
        <f>IF(B78&lt;Simulador!$F$47,Simulador!$F$45*Simulador!$F$12/12,"")</f>
        <v/>
      </c>
      <c r="H79" s="17" t="str">
        <f>IF(B78&lt;Simulador!$F$47,C79-D79,"")</f>
        <v/>
      </c>
      <c r="I79" s="17" t="str">
        <f>IF(B78&lt;Simulador!$F$47,PMT(Simulador!$F$41+Simulador!$F$43,Simulador!$F$47,-Simulador!$F$37)+G79,"")</f>
        <v/>
      </c>
    </row>
    <row r="80" spans="1:9" ht="17.100000000000001" customHeight="1" x14ac:dyDescent="0.25">
      <c r="A80" s="14"/>
      <c r="B80" s="13" t="str">
        <f>IF(B79&lt;Simulador!$F$47,B79+1,"")</f>
        <v/>
      </c>
      <c r="C80" s="16" t="str">
        <f>IF(B79&lt;Simulador!$F$47,H79,"")</f>
        <v/>
      </c>
      <c r="D80" s="17" t="str">
        <f>IF(Tabla1[[#This Row],[Periodo]]="","",IF(B80&lt;=Simulador!$F$47,PPMT(Simulador!$F$41+Simulador!$F$43,Cronograma!B80,Simulador!$F$47,-Simulador!$F$37),""))</f>
        <v/>
      </c>
      <c r="E80" s="17" t="str">
        <f>IF(B79&lt;Simulador!$F$47,(IPMT(Simulador!$F$41+Simulador!$F$43,Tabla1[[#This Row],[Periodo]],Simulador!$F$47,-Simulador!$F$37)-Tabla1[[#This Row],[Seguro Desgravamen]]),"")</f>
        <v/>
      </c>
      <c r="F80" s="17" t="str">
        <f>IF(B79&lt;Simulador!$F$47,C80*Simulador!$F$43,"")</f>
        <v/>
      </c>
      <c r="G80" s="16" t="str">
        <f>IF(B79&lt;Simulador!$F$47,Simulador!$F$45*Simulador!$F$12/12,"")</f>
        <v/>
      </c>
      <c r="H80" s="17" t="str">
        <f>IF(B79&lt;Simulador!$F$47,C80-D80,"")</f>
        <v/>
      </c>
      <c r="I80" s="17" t="str">
        <f>IF(B79&lt;Simulador!$F$47,PMT(Simulador!$F$41+Simulador!$F$43,Simulador!$F$47,-Simulador!$F$37)+G80,"")</f>
        <v/>
      </c>
    </row>
    <row r="81" spans="1:9" ht="17.100000000000001" customHeight="1" x14ac:dyDescent="0.25">
      <c r="A81" s="14"/>
      <c r="B81" s="13" t="str">
        <f>IF(B80&lt;Simulador!$F$47,B80+1,"")</f>
        <v/>
      </c>
      <c r="C81" s="16" t="str">
        <f>IF(B80&lt;Simulador!$F$47,H80,"")</f>
        <v/>
      </c>
      <c r="D81" s="17" t="str">
        <f>IF(Tabla1[[#This Row],[Periodo]]="","",IF(B81&lt;=Simulador!$F$47,PPMT(Simulador!$F$41+Simulador!$F$43,Cronograma!B81,Simulador!$F$47,-Simulador!$F$37),""))</f>
        <v/>
      </c>
      <c r="E81" s="17" t="str">
        <f>IF(B80&lt;Simulador!$F$47,(IPMT(Simulador!$F$41+Simulador!$F$43,Tabla1[[#This Row],[Periodo]],Simulador!$F$47,-Simulador!$F$37)-Tabla1[[#This Row],[Seguro Desgravamen]]),"")</f>
        <v/>
      </c>
      <c r="F81" s="17" t="str">
        <f>IF(B80&lt;Simulador!$F$47,C81*Simulador!$F$43,"")</f>
        <v/>
      </c>
      <c r="G81" s="16" t="str">
        <f>IF(B80&lt;Simulador!$F$47,Simulador!$F$45*Simulador!$F$12/12,"")</f>
        <v/>
      </c>
      <c r="H81" s="17" t="str">
        <f>IF(B80&lt;Simulador!$F$47,C81-D81,"")</f>
        <v/>
      </c>
      <c r="I81" s="17" t="str">
        <f>IF(B80&lt;Simulador!$F$47,PMT(Simulador!$F$41+Simulador!$F$43,Simulador!$F$47,-Simulador!$F$37)+G81,"")</f>
        <v/>
      </c>
    </row>
    <row r="82" spans="1:9" ht="17.100000000000001" customHeight="1" x14ac:dyDescent="0.25">
      <c r="A82" s="14"/>
      <c r="B82" s="13" t="str">
        <f>IF(B81&lt;Simulador!$F$47,B81+1,"")</f>
        <v/>
      </c>
      <c r="C82" s="16" t="str">
        <f>IF(B81&lt;Simulador!$F$47,H81,"")</f>
        <v/>
      </c>
      <c r="D82" s="17" t="str">
        <f>IF(Tabla1[[#This Row],[Periodo]]="","",IF(B82&lt;=Simulador!$F$47,PPMT(Simulador!$F$41+Simulador!$F$43,Cronograma!B82,Simulador!$F$47,-Simulador!$F$37),""))</f>
        <v/>
      </c>
      <c r="E82" s="17" t="str">
        <f>IF(B81&lt;Simulador!$F$47,(IPMT(Simulador!$F$41+Simulador!$F$43,Tabla1[[#This Row],[Periodo]],Simulador!$F$47,-Simulador!$F$37)-Tabla1[[#This Row],[Seguro Desgravamen]]),"")</f>
        <v/>
      </c>
      <c r="F82" s="17" t="str">
        <f>IF(B81&lt;Simulador!$F$47,C82*Simulador!$F$43,"")</f>
        <v/>
      </c>
      <c r="G82" s="16" t="str">
        <f>IF(B81&lt;Simulador!$F$47,Simulador!$F$45*Simulador!$F$12/12,"")</f>
        <v/>
      </c>
      <c r="H82" s="17" t="str">
        <f>IF(B81&lt;Simulador!$F$47,C82-D82,"")</f>
        <v/>
      </c>
      <c r="I82" s="17" t="str">
        <f>IF(B81&lt;Simulador!$F$47,PMT(Simulador!$F$41+Simulador!$F$43,Simulador!$F$47,-Simulador!$F$37)+G82,"")</f>
        <v/>
      </c>
    </row>
    <row r="83" spans="1:9" ht="17.100000000000001" customHeight="1" x14ac:dyDescent="0.25">
      <c r="A83" s="14"/>
      <c r="B83" s="13" t="str">
        <f>IF(B82&lt;Simulador!$F$47,B82+1,"")</f>
        <v/>
      </c>
      <c r="C83" s="16" t="str">
        <f>IF(B82&lt;Simulador!$F$47,H82,"")</f>
        <v/>
      </c>
      <c r="D83" s="17" t="str">
        <f>IF(Tabla1[[#This Row],[Periodo]]="","",IF(B83&lt;=Simulador!$F$47,PPMT(Simulador!$F$41+Simulador!$F$43,Cronograma!B83,Simulador!$F$47,-Simulador!$F$37),""))</f>
        <v/>
      </c>
      <c r="E83" s="17" t="str">
        <f>IF(B82&lt;Simulador!$F$47,(IPMT(Simulador!$F$41+Simulador!$F$43,Tabla1[[#This Row],[Periodo]],Simulador!$F$47,-Simulador!$F$37)-Tabla1[[#This Row],[Seguro Desgravamen]]),"")</f>
        <v/>
      </c>
      <c r="F83" s="17" t="str">
        <f>IF(B82&lt;Simulador!$F$47,C83*Simulador!$F$43,"")</f>
        <v/>
      </c>
      <c r="G83" s="16" t="str">
        <f>IF(B82&lt;Simulador!$F$47,Simulador!$F$45*Simulador!$F$12/12,"")</f>
        <v/>
      </c>
      <c r="H83" s="17" t="str">
        <f>IF(B82&lt;Simulador!$F$47,C83-D83,"")</f>
        <v/>
      </c>
      <c r="I83" s="17" t="str">
        <f>IF(B82&lt;Simulador!$F$47,PMT(Simulador!$F$41+Simulador!$F$43,Simulador!$F$47,-Simulador!$F$37)+G83,"")</f>
        <v/>
      </c>
    </row>
    <row r="84" spans="1:9" ht="17.100000000000001" customHeight="1" x14ac:dyDescent="0.25">
      <c r="A84" s="14"/>
      <c r="B84" s="13" t="str">
        <f>IF(B83&lt;Simulador!$F$47,B83+1,"")</f>
        <v/>
      </c>
      <c r="C84" s="16" t="str">
        <f>IF(B83&lt;Simulador!$F$47,H83,"")</f>
        <v/>
      </c>
      <c r="D84" s="17" t="str">
        <f>IF(Tabla1[[#This Row],[Periodo]]="","",IF(B84&lt;=Simulador!$F$47,PPMT(Simulador!$F$41+Simulador!$F$43,Cronograma!B84,Simulador!$F$47,-Simulador!$F$37),""))</f>
        <v/>
      </c>
      <c r="E84" s="17" t="str">
        <f>IF(B83&lt;Simulador!$F$47,(IPMT(Simulador!$F$41+Simulador!$F$43,Tabla1[[#This Row],[Periodo]],Simulador!$F$47,-Simulador!$F$37)-Tabla1[[#This Row],[Seguro Desgravamen]]),"")</f>
        <v/>
      </c>
      <c r="F84" s="17" t="str">
        <f>IF(B83&lt;Simulador!$F$47,C84*Simulador!$F$43,"")</f>
        <v/>
      </c>
      <c r="G84" s="16" t="str">
        <f>IF(B83&lt;Simulador!$F$47,Simulador!$F$45*Simulador!$F$12/12,"")</f>
        <v/>
      </c>
      <c r="H84" s="17" t="str">
        <f>IF(B83&lt;Simulador!$F$47,C84-D84,"")</f>
        <v/>
      </c>
      <c r="I84" s="17" t="str">
        <f>IF(B83&lt;Simulador!$F$47,PMT(Simulador!$F$41+Simulador!$F$43,Simulador!$F$47,-Simulador!$F$37)+G84,"")</f>
        <v/>
      </c>
    </row>
    <row r="85" spans="1:9" ht="17.100000000000001" customHeight="1" x14ac:dyDescent="0.25">
      <c r="A85" s="14"/>
      <c r="B85" s="13" t="str">
        <f>IF(B84&lt;Simulador!$F$47,B84+1,"")</f>
        <v/>
      </c>
      <c r="C85" s="16" t="str">
        <f>IF(B84&lt;Simulador!$F$47,H84,"")</f>
        <v/>
      </c>
      <c r="D85" s="17" t="str">
        <f>IF(Tabla1[[#This Row],[Periodo]]="","",IF(B85&lt;=Simulador!$F$47,PPMT(Simulador!$F$41+Simulador!$F$43,Cronograma!B85,Simulador!$F$47,-Simulador!$F$37),""))</f>
        <v/>
      </c>
      <c r="E85" s="17" t="str">
        <f>IF(B84&lt;Simulador!$F$47,(IPMT(Simulador!$F$41+Simulador!$F$43,Tabla1[[#This Row],[Periodo]],Simulador!$F$47,-Simulador!$F$37)-Tabla1[[#This Row],[Seguro Desgravamen]]),"")</f>
        <v/>
      </c>
      <c r="F85" s="17" t="str">
        <f>IF(B84&lt;Simulador!$F$47,C85*Simulador!$F$43,"")</f>
        <v/>
      </c>
      <c r="G85" s="16" t="str">
        <f>IF(B84&lt;Simulador!$F$47,Simulador!$F$45*Simulador!$F$12/12,"")</f>
        <v/>
      </c>
      <c r="H85" s="17" t="str">
        <f>IF(B84&lt;Simulador!$F$47,C85-D85,"")</f>
        <v/>
      </c>
      <c r="I85" s="17" t="str">
        <f>IF(B84&lt;Simulador!$F$47,PMT(Simulador!$F$41+Simulador!$F$43,Simulador!$F$47,-Simulador!$F$37)+G85,"")</f>
        <v/>
      </c>
    </row>
    <row r="86" spans="1:9" ht="17.100000000000001" customHeight="1" x14ac:dyDescent="0.25">
      <c r="A86" s="14"/>
      <c r="B86" s="13" t="str">
        <f>IF(B85&lt;Simulador!$F$47,B85+1,"")</f>
        <v/>
      </c>
      <c r="C86" s="16" t="str">
        <f>IF(B85&lt;Simulador!$F$47,H85,"")</f>
        <v/>
      </c>
      <c r="D86" s="17" t="str">
        <f>IF(Tabla1[[#This Row],[Periodo]]="","",IF(B86&lt;=Simulador!$F$47,PPMT(Simulador!$F$41+Simulador!$F$43,Cronograma!B86,Simulador!$F$47,-Simulador!$F$37),""))</f>
        <v/>
      </c>
      <c r="E86" s="17" t="str">
        <f>IF(B85&lt;Simulador!$F$47,(IPMT(Simulador!$F$41+Simulador!$F$43,Tabla1[[#This Row],[Periodo]],Simulador!$F$47,-Simulador!$F$37)-Tabla1[[#This Row],[Seguro Desgravamen]]),"")</f>
        <v/>
      </c>
      <c r="F86" s="17" t="str">
        <f>IF(B85&lt;Simulador!$F$47,C86*Simulador!$F$43,"")</f>
        <v/>
      </c>
      <c r="G86" s="16" t="str">
        <f>IF(B85&lt;Simulador!$F$47,Simulador!$F$45*Simulador!$F$12/12,"")</f>
        <v/>
      </c>
      <c r="H86" s="17" t="str">
        <f>IF(B85&lt;Simulador!$F$47,C86-D86,"")</f>
        <v/>
      </c>
      <c r="I86" s="17" t="str">
        <f>IF(B85&lt;Simulador!$F$47,PMT(Simulador!$F$41+Simulador!$F$43,Simulador!$F$47,-Simulador!$F$37)+G86,"")</f>
        <v/>
      </c>
    </row>
    <row r="87" spans="1:9" ht="17.100000000000001" customHeight="1" x14ac:dyDescent="0.25">
      <c r="A87" s="14"/>
      <c r="B87" s="13" t="str">
        <f>IF(B86&lt;Simulador!$F$47,B86+1,"")</f>
        <v/>
      </c>
      <c r="C87" s="16" t="str">
        <f>IF(B86&lt;Simulador!$F$47,H86,"")</f>
        <v/>
      </c>
      <c r="D87" s="17" t="str">
        <f>IF(Tabla1[[#This Row],[Periodo]]="","",IF(B87&lt;=Simulador!$F$47,PPMT(Simulador!$F$41+Simulador!$F$43,Cronograma!B87,Simulador!$F$47,-Simulador!$F$37),""))</f>
        <v/>
      </c>
      <c r="E87" s="17" t="str">
        <f>IF(B86&lt;Simulador!$F$47,(IPMT(Simulador!$F$41+Simulador!$F$43,Tabla1[[#This Row],[Periodo]],Simulador!$F$47,-Simulador!$F$37)-Tabla1[[#This Row],[Seguro Desgravamen]]),"")</f>
        <v/>
      </c>
      <c r="F87" s="17" t="str">
        <f>IF(B86&lt;Simulador!$F$47,C87*Simulador!$F$43,"")</f>
        <v/>
      </c>
      <c r="G87" s="16" t="str">
        <f>IF(B86&lt;Simulador!$F$47,Simulador!$F$45*Simulador!$F$12/12,"")</f>
        <v/>
      </c>
      <c r="H87" s="17" t="str">
        <f>IF(B86&lt;Simulador!$F$47,C87-D87,"")</f>
        <v/>
      </c>
      <c r="I87" s="17" t="str">
        <f>IF(B86&lt;Simulador!$F$47,PMT(Simulador!$F$41+Simulador!$F$43,Simulador!$F$47,-Simulador!$F$37)+G87,"")</f>
        <v/>
      </c>
    </row>
    <row r="88" spans="1:9" ht="17.100000000000001" customHeight="1" x14ac:dyDescent="0.25">
      <c r="A88" s="14"/>
      <c r="B88" s="13" t="str">
        <f>IF(B87&lt;Simulador!$F$47,B87+1,"")</f>
        <v/>
      </c>
      <c r="C88" s="16" t="str">
        <f>IF(B87&lt;Simulador!$F$47,H87,"")</f>
        <v/>
      </c>
      <c r="D88" s="17" t="str">
        <f>IF(Tabla1[[#This Row],[Periodo]]="","",IF(B88&lt;=Simulador!$F$47,PPMT(Simulador!$F$41+Simulador!$F$43,Cronograma!B88,Simulador!$F$47,-Simulador!$F$37),""))</f>
        <v/>
      </c>
      <c r="E88" s="17" t="str">
        <f>IF(B87&lt;Simulador!$F$47,(IPMT(Simulador!$F$41+Simulador!$F$43,Tabla1[[#This Row],[Periodo]],Simulador!$F$47,-Simulador!$F$37)-Tabla1[[#This Row],[Seguro Desgravamen]]),"")</f>
        <v/>
      </c>
      <c r="F88" s="17" t="str">
        <f>IF(B87&lt;Simulador!$F$47,C88*Simulador!$F$43,"")</f>
        <v/>
      </c>
      <c r="G88" s="16" t="str">
        <f>IF(B87&lt;Simulador!$F$47,Simulador!$F$45*Simulador!$F$12/12,"")</f>
        <v/>
      </c>
      <c r="H88" s="17" t="str">
        <f>IF(B87&lt;Simulador!$F$47,C88-D88,"")</f>
        <v/>
      </c>
      <c r="I88" s="17" t="str">
        <f>IF(B87&lt;Simulador!$F$47,PMT(Simulador!$F$41+Simulador!$F$43,Simulador!$F$47,-Simulador!$F$37)+G88,"")</f>
        <v/>
      </c>
    </row>
    <row r="89" spans="1:9" ht="17.100000000000001" customHeight="1" x14ac:dyDescent="0.25">
      <c r="A89" s="14"/>
      <c r="B89" s="13" t="str">
        <f>IF(B88&lt;Simulador!$F$47,B88+1,"")</f>
        <v/>
      </c>
      <c r="C89" s="16" t="str">
        <f>IF(B88&lt;Simulador!$F$47,H88,"")</f>
        <v/>
      </c>
      <c r="D89" s="17" t="str">
        <f>IF(Tabla1[[#This Row],[Periodo]]="","",IF(B89&lt;=Simulador!$F$47,PPMT(Simulador!$F$41+Simulador!$F$43,Cronograma!B89,Simulador!$F$47,-Simulador!$F$37),""))</f>
        <v/>
      </c>
      <c r="E89" s="17" t="str">
        <f>IF(B88&lt;Simulador!$F$47,(IPMT(Simulador!$F$41+Simulador!$F$43,Tabla1[[#This Row],[Periodo]],Simulador!$F$47,-Simulador!$F$37)-Tabla1[[#This Row],[Seguro Desgravamen]]),"")</f>
        <v/>
      </c>
      <c r="F89" s="17" t="str">
        <f>IF(B88&lt;Simulador!$F$47,C89*Simulador!$F$43,"")</f>
        <v/>
      </c>
      <c r="G89" s="16" t="str">
        <f>IF(B88&lt;Simulador!$F$47,Simulador!$F$45*Simulador!$F$12/12,"")</f>
        <v/>
      </c>
      <c r="H89" s="17" t="str">
        <f>IF(B88&lt;Simulador!$F$47,C89-D89,"")</f>
        <v/>
      </c>
      <c r="I89" s="17" t="str">
        <f>IF(B88&lt;Simulador!$F$47,PMT(Simulador!$F$41+Simulador!$F$43,Simulador!$F$47,-Simulador!$F$37)+G89,"")</f>
        <v/>
      </c>
    </row>
    <row r="90" spans="1:9" ht="17.100000000000001" customHeight="1" x14ac:dyDescent="0.25">
      <c r="A90" s="14"/>
      <c r="B90" s="13" t="str">
        <f>IF(B89&lt;Simulador!$F$47,B89+1,"")</f>
        <v/>
      </c>
      <c r="C90" s="16" t="str">
        <f>IF(B89&lt;Simulador!$F$47,H89,"")</f>
        <v/>
      </c>
      <c r="D90" s="17" t="str">
        <f>IF(Tabla1[[#This Row],[Periodo]]="","",IF(B90&lt;=Simulador!$F$47,PPMT(Simulador!$F$41+Simulador!$F$43,Cronograma!B90,Simulador!$F$47,-Simulador!$F$37),""))</f>
        <v/>
      </c>
      <c r="E90" s="17" t="str">
        <f>IF(B89&lt;Simulador!$F$47,(IPMT(Simulador!$F$41+Simulador!$F$43,Tabla1[[#This Row],[Periodo]],Simulador!$F$47,-Simulador!$F$37)-Tabla1[[#This Row],[Seguro Desgravamen]]),"")</f>
        <v/>
      </c>
      <c r="F90" s="17" t="str">
        <f>IF(B89&lt;Simulador!$F$47,C90*Simulador!$F$43,"")</f>
        <v/>
      </c>
      <c r="G90" s="16" t="str">
        <f>IF(B89&lt;Simulador!$F$47,Simulador!$F$45*Simulador!$F$12/12,"")</f>
        <v/>
      </c>
      <c r="H90" s="17" t="str">
        <f>IF(B89&lt;Simulador!$F$47,C90-D90,"")</f>
        <v/>
      </c>
      <c r="I90" s="17" t="str">
        <f>IF(B89&lt;Simulador!$F$47,PMT(Simulador!$F$41+Simulador!$F$43,Simulador!$F$47,-Simulador!$F$37)+G90,"")</f>
        <v/>
      </c>
    </row>
    <row r="91" spans="1:9" ht="17.100000000000001" customHeight="1" x14ac:dyDescent="0.25">
      <c r="A91" s="14"/>
      <c r="B91" s="13" t="str">
        <f>IF(B90&lt;Simulador!$F$47,B90+1,"")</f>
        <v/>
      </c>
      <c r="C91" s="16" t="str">
        <f>IF(B90&lt;Simulador!$F$47,H90,"")</f>
        <v/>
      </c>
      <c r="D91" s="17" t="str">
        <f>IF(Tabla1[[#This Row],[Periodo]]="","",IF(B91&lt;=Simulador!$F$47,PPMT(Simulador!$F$41+Simulador!$F$43,Cronograma!B91,Simulador!$F$47,-Simulador!$F$37),""))</f>
        <v/>
      </c>
      <c r="E91" s="17" t="str">
        <f>IF(B90&lt;Simulador!$F$47,(IPMT(Simulador!$F$41+Simulador!$F$43,Tabla1[[#This Row],[Periodo]],Simulador!$F$47,-Simulador!$F$37)-Tabla1[[#This Row],[Seguro Desgravamen]]),"")</f>
        <v/>
      </c>
      <c r="F91" s="17" t="str">
        <f>IF(B90&lt;Simulador!$F$47,C91*Simulador!$F$43,"")</f>
        <v/>
      </c>
      <c r="G91" s="16" t="str">
        <f>IF(B90&lt;Simulador!$F$47,Simulador!$F$45*Simulador!$F$12/12,"")</f>
        <v/>
      </c>
      <c r="H91" s="17" t="str">
        <f>IF(B90&lt;Simulador!$F$47,C91-D91,"")</f>
        <v/>
      </c>
      <c r="I91" s="17" t="str">
        <f>IF(B90&lt;Simulador!$F$47,PMT(Simulador!$F$41+Simulador!$F$43,Simulador!$F$47,-Simulador!$F$37)+G91,"")</f>
        <v/>
      </c>
    </row>
    <row r="92" spans="1:9" ht="17.100000000000001" customHeight="1" x14ac:dyDescent="0.25">
      <c r="A92" s="14"/>
      <c r="B92" s="13" t="str">
        <f>IF(B91&lt;Simulador!$F$47,B91+1,"")</f>
        <v/>
      </c>
      <c r="C92" s="16" t="str">
        <f>IF(B91&lt;Simulador!$F$47,H91,"")</f>
        <v/>
      </c>
      <c r="D92" s="17" t="str">
        <f>IF(Tabla1[[#This Row],[Periodo]]="","",IF(B92&lt;=Simulador!$F$47,PPMT(Simulador!$F$41+Simulador!$F$43,Cronograma!B92,Simulador!$F$47,-Simulador!$F$37),""))</f>
        <v/>
      </c>
      <c r="E92" s="17" t="str">
        <f>IF(B91&lt;Simulador!$F$47,(IPMT(Simulador!$F$41+Simulador!$F$43,Tabla1[[#This Row],[Periodo]],Simulador!$F$47,-Simulador!$F$37)-Tabla1[[#This Row],[Seguro Desgravamen]]),"")</f>
        <v/>
      </c>
      <c r="F92" s="17" t="str">
        <f>IF(B91&lt;Simulador!$F$47,C92*Simulador!$F$43,"")</f>
        <v/>
      </c>
      <c r="G92" s="16" t="str">
        <f>IF(B91&lt;Simulador!$F$47,Simulador!$F$45*Simulador!$F$12/12,"")</f>
        <v/>
      </c>
      <c r="H92" s="17" t="str">
        <f>IF(B91&lt;Simulador!$F$47,C92-D92,"")</f>
        <v/>
      </c>
      <c r="I92" s="17" t="str">
        <f>IF(B91&lt;Simulador!$F$47,PMT(Simulador!$F$41+Simulador!$F$43,Simulador!$F$47,-Simulador!$F$37)+G92,"")</f>
        <v/>
      </c>
    </row>
    <row r="93" spans="1:9" ht="17.100000000000001" customHeight="1" x14ac:dyDescent="0.25">
      <c r="A93" s="14"/>
      <c r="B93" s="13" t="str">
        <f>IF(B92&lt;Simulador!$F$47,B92+1,"")</f>
        <v/>
      </c>
      <c r="C93" s="16" t="str">
        <f>IF(B92&lt;Simulador!$F$47,H92,"")</f>
        <v/>
      </c>
      <c r="D93" s="17" t="str">
        <f>IF(Tabla1[[#This Row],[Periodo]]="","",IF(B93&lt;=Simulador!$F$47,PPMT(Simulador!$F$41+Simulador!$F$43,Cronograma!B93,Simulador!$F$47,-Simulador!$F$37),""))</f>
        <v/>
      </c>
      <c r="E93" s="17" t="str">
        <f>IF(B92&lt;Simulador!$F$47,(IPMT(Simulador!$F$41+Simulador!$F$43,Tabla1[[#This Row],[Periodo]],Simulador!$F$47,-Simulador!$F$37)-Tabla1[[#This Row],[Seguro Desgravamen]]),"")</f>
        <v/>
      </c>
      <c r="F93" s="17" t="str">
        <f>IF(B92&lt;Simulador!$F$47,C93*Simulador!$F$43,"")</f>
        <v/>
      </c>
      <c r="G93" s="16" t="str">
        <f>IF(B92&lt;Simulador!$F$47,Simulador!$F$45*Simulador!$F$12/12,"")</f>
        <v/>
      </c>
      <c r="H93" s="17" t="str">
        <f>IF(B92&lt;Simulador!$F$47,C93-D93,"")</f>
        <v/>
      </c>
      <c r="I93" s="17" t="str">
        <f>IF(B92&lt;Simulador!$F$47,PMT(Simulador!$F$41+Simulador!$F$43,Simulador!$F$47,-Simulador!$F$37)+G93,"")</f>
        <v/>
      </c>
    </row>
    <row r="94" spans="1:9" ht="17.100000000000001" customHeight="1" x14ac:dyDescent="0.25">
      <c r="A94" s="14"/>
      <c r="B94" s="13" t="str">
        <f>IF(B93&lt;Simulador!$F$47,B93+1,"")</f>
        <v/>
      </c>
      <c r="C94" s="16" t="str">
        <f>IF(B93&lt;Simulador!$F$47,H93,"")</f>
        <v/>
      </c>
      <c r="D94" s="17" t="str">
        <f>IF(Tabla1[[#This Row],[Periodo]]="","",IF(B94&lt;=Simulador!$F$47,PPMT(Simulador!$F$41+Simulador!$F$43,Cronograma!B94,Simulador!$F$47,-Simulador!$F$37),""))</f>
        <v/>
      </c>
      <c r="E94" s="17" t="str">
        <f>IF(B93&lt;Simulador!$F$47,(IPMT(Simulador!$F$41+Simulador!$F$43,Tabla1[[#This Row],[Periodo]],Simulador!$F$47,-Simulador!$F$37)-Tabla1[[#This Row],[Seguro Desgravamen]]),"")</f>
        <v/>
      </c>
      <c r="F94" s="17" t="str">
        <f>IF(B93&lt;Simulador!$F$47,C94*Simulador!$F$43,"")</f>
        <v/>
      </c>
      <c r="G94" s="16" t="str">
        <f>IF(B93&lt;Simulador!$F$47,Simulador!$F$45*Simulador!$F$12/12,"")</f>
        <v/>
      </c>
      <c r="H94" s="17" t="str">
        <f>IF(B93&lt;Simulador!$F$47,C94-D94,"")</f>
        <v/>
      </c>
      <c r="I94" s="17" t="str">
        <f>IF(B93&lt;Simulador!$F$47,PMT(Simulador!$F$41+Simulador!$F$43,Simulador!$F$47,-Simulador!$F$37)+G94,"")</f>
        <v/>
      </c>
    </row>
    <row r="95" spans="1:9" ht="17.100000000000001" customHeight="1" x14ac:dyDescent="0.25">
      <c r="A95" s="14"/>
      <c r="B95" s="13" t="str">
        <f>IF(B94&lt;Simulador!$F$47,B94+1,"")</f>
        <v/>
      </c>
      <c r="C95" s="16" t="str">
        <f>IF(B94&lt;Simulador!$F$47,H94,"")</f>
        <v/>
      </c>
      <c r="D95" s="17" t="str">
        <f>IF(Tabla1[[#This Row],[Periodo]]="","",IF(B95&lt;=Simulador!$F$47,PPMT(Simulador!$F$41+Simulador!$F$43,Cronograma!B95,Simulador!$F$47,-Simulador!$F$37),""))</f>
        <v/>
      </c>
      <c r="E95" s="17" t="str">
        <f>IF(B94&lt;Simulador!$F$47,(IPMT(Simulador!$F$41+Simulador!$F$43,Tabla1[[#This Row],[Periodo]],Simulador!$F$47,-Simulador!$F$37)-Tabla1[[#This Row],[Seguro Desgravamen]]),"")</f>
        <v/>
      </c>
      <c r="F95" s="17" t="str">
        <f>IF(B94&lt;Simulador!$F$47,C95*Simulador!$F$43,"")</f>
        <v/>
      </c>
      <c r="G95" s="16" t="str">
        <f>IF(B94&lt;Simulador!$F$47,Simulador!$F$45*Simulador!$F$12/12,"")</f>
        <v/>
      </c>
      <c r="H95" s="17" t="str">
        <f>IF(B94&lt;Simulador!$F$47,C95-D95,"")</f>
        <v/>
      </c>
      <c r="I95" s="17" t="str">
        <f>IF(B94&lt;Simulador!$F$47,PMT(Simulador!$F$41+Simulador!$F$43,Simulador!$F$47,-Simulador!$F$37)+G95,"")</f>
        <v/>
      </c>
    </row>
    <row r="96" spans="1:9" ht="17.100000000000001" customHeight="1" x14ac:dyDescent="0.25">
      <c r="A96" s="14"/>
      <c r="B96" s="13" t="str">
        <f>IF(B95&lt;Simulador!$F$47,B95+1,"")</f>
        <v/>
      </c>
      <c r="C96" s="16" t="str">
        <f>IF(B95&lt;Simulador!$F$47,H95,"")</f>
        <v/>
      </c>
      <c r="D96" s="17" t="str">
        <f>IF(Tabla1[[#This Row],[Periodo]]="","",IF(B96&lt;=Simulador!$F$47,PPMT(Simulador!$F$41+Simulador!$F$43,Cronograma!B96,Simulador!$F$47,-Simulador!$F$37),""))</f>
        <v/>
      </c>
      <c r="E96" s="17" t="str">
        <f>IF(B95&lt;Simulador!$F$47,(IPMT(Simulador!$F$41+Simulador!$F$43,Tabla1[[#This Row],[Periodo]],Simulador!$F$47,-Simulador!$F$37)-Tabla1[[#This Row],[Seguro Desgravamen]]),"")</f>
        <v/>
      </c>
      <c r="F96" s="17" t="str">
        <f>IF(B95&lt;Simulador!$F$47,C96*Simulador!$F$43,"")</f>
        <v/>
      </c>
      <c r="G96" s="16" t="str">
        <f>IF(B95&lt;Simulador!$F$47,Simulador!$F$45*Simulador!$F$12/12,"")</f>
        <v/>
      </c>
      <c r="H96" s="17" t="str">
        <f>IF(B95&lt;Simulador!$F$47,C96-D96,"")</f>
        <v/>
      </c>
      <c r="I96" s="17" t="str">
        <f>IF(B95&lt;Simulador!$F$47,PMT(Simulador!$F$41+Simulador!$F$43,Simulador!$F$47,-Simulador!$F$37)+G96,"")</f>
        <v/>
      </c>
    </row>
    <row r="97" spans="1:9" ht="17.100000000000001" customHeight="1" x14ac:dyDescent="0.25">
      <c r="A97" s="14"/>
      <c r="B97" s="13" t="str">
        <f>IF(B96&lt;Simulador!$F$47,B96+1,"")</f>
        <v/>
      </c>
      <c r="C97" s="16" t="str">
        <f>IF(B96&lt;Simulador!$F$47,H96,"")</f>
        <v/>
      </c>
      <c r="D97" s="17" t="str">
        <f>IF(Tabla1[[#This Row],[Periodo]]="","",IF(B97&lt;=Simulador!$F$47,PPMT(Simulador!$F$41+Simulador!$F$43,Cronograma!B97,Simulador!$F$47,-Simulador!$F$37),""))</f>
        <v/>
      </c>
      <c r="E97" s="17" t="str">
        <f>IF(B96&lt;Simulador!$F$47,(IPMT(Simulador!$F$41+Simulador!$F$43,Tabla1[[#This Row],[Periodo]],Simulador!$F$47,-Simulador!$F$37)-Tabla1[[#This Row],[Seguro Desgravamen]]),"")</f>
        <v/>
      </c>
      <c r="F97" s="17" t="str">
        <f>IF(B96&lt;Simulador!$F$47,C97*Simulador!$F$43,"")</f>
        <v/>
      </c>
      <c r="G97" s="16" t="str">
        <f>IF(B96&lt;Simulador!$F$47,Simulador!$F$45*Simulador!$F$12/12,"")</f>
        <v/>
      </c>
      <c r="H97" s="17" t="str">
        <f>IF(B96&lt;Simulador!$F$47,C97-D97,"")</f>
        <v/>
      </c>
      <c r="I97" s="17" t="str">
        <f>IF(B96&lt;Simulador!$F$47,PMT(Simulador!$F$41+Simulador!$F$43,Simulador!$F$47,-Simulador!$F$37)+G97,"")</f>
        <v/>
      </c>
    </row>
    <row r="98" spans="1:9" ht="17.100000000000001" customHeight="1" x14ac:dyDescent="0.25">
      <c r="A98" s="14"/>
      <c r="B98" s="13" t="str">
        <f>IF(B97&lt;Simulador!$F$47,B97+1,"")</f>
        <v/>
      </c>
      <c r="C98" s="16" t="str">
        <f>IF(B97&lt;Simulador!$F$47,H97,"")</f>
        <v/>
      </c>
      <c r="D98" s="17" t="str">
        <f>IF(Tabla1[[#This Row],[Periodo]]="","",IF(B98&lt;=Simulador!$F$47,PPMT(Simulador!$F$41+Simulador!$F$43,Cronograma!B98,Simulador!$F$47,-Simulador!$F$37),""))</f>
        <v/>
      </c>
      <c r="E98" s="17" t="str">
        <f>IF(B97&lt;Simulador!$F$47,(IPMT(Simulador!$F$41+Simulador!$F$43,Tabla1[[#This Row],[Periodo]],Simulador!$F$47,-Simulador!$F$37)-Tabla1[[#This Row],[Seguro Desgravamen]]),"")</f>
        <v/>
      </c>
      <c r="F98" s="17" t="str">
        <f>IF(B97&lt;Simulador!$F$47,C98*Simulador!$F$43,"")</f>
        <v/>
      </c>
      <c r="G98" s="16" t="str">
        <f>IF(B97&lt;Simulador!$F$47,Simulador!$F$45*Simulador!$F$12/12,"")</f>
        <v/>
      </c>
      <c r="H98" s="17" t="str">
        <f>IF(B97&lt;Simulador!$F$47,C98-D98,"")</f>
        <v/>
      </c>
      <c r="I98" s="17" t="str">
        <f>IF(B97&lt;Simulador!$F$47,PMT(Simulador!$F$41+Simulador!$F$43,Simulador!$F$47,-Simulador!$F$37)+G98,"")</f>
        <v/>
      </c>
    </row>
    <row r="99" spans="1:9" ht="17.100000000000001" customHeight="1" x14ac:dyDescent="0.25">
      <c r="A99" s="14"/>
      <c r="B99" s="13" t="str">
        <f>IF(B98&lt;Simulador!$F$47,B98+1,"")</f>
        <v/>
      </c>
      <c r="C99" s="16" t="str">
        <f>IF(B98&lt;Simulador!$F$47,H98,"")</f>
        <v/>
      </c>
      <c r="D99" s="17" t="str">
        <f>IF(Tabla1[[#This Row],[Periodo]]="","",IF(B99&lt;=Simulador!$F$47,PPMT(Simulador!$F$41+Simulador!$F$43,Cronograma!B99,Simulador!$F$47,-Simulador!$F$37),""))</f>
        <v/>
      </c>
      <c r="E99" s="17" t="str">
        <f>IF(B98&lt;Simulador!$F$47,(IPMT(Simulador!$F$41+Simulador!$F$43,Tabla1[[#This Row],[Periodo]],Simulador!$F$47,-Simulador!$F$37)-Tabla1[[#This Row],[Seguro Desgravamen]]),"")</f>
        <v/>
      </c>
      <c r="F99" s="17" t="str">
        <f>IF(B98&lt;Simulador!$F$47,C99*Simulador!$F$43,"")</f>
        <v/>
      </c>
      <c r="G99" s="16" t="str">
        <f>IF(B98&lt;Simulador!$F$47,Simulador!$F$45*Simulador!$F$12/12,"")</f>
        <v/>
      </c>
      <c r="H99" s="17" t="str">
        <f>IF(B98&lt;Simulador!$F$47,C99-D99,"")</f>
        <v/>
      </c>
      <c r="I99" s="17" t="str">
        <f>IF(B98&lt;Simulador!$F$47,PMT(Simulador!$F$41+Simulador!$F$43,Simulador!$F$47,-Simulador!$F$37)+G99,"")</f>
        <v/>
      </c>
    </row>
    <row r="100" spans="1:9" ht="17.100000000000001" customHeight="1" x14ac:dyDescent="0.25">
      <c r="A100" s="14"/>
      <c r="B100" s="13" t="str">
        <f>IF(B99&lt;Simulador!$F$47,B99+1,"")</f>
        <v/>
      </c>
      <c r="C100" s="16" t="str">
        <f>IF(B99&lt;Simulador!$F$47,H99,"")</f>
        <v/>
      </c>
      <c r="D100" s="17" t="str">
        <f>IF(Tabla1[[#This Row],[Periodo]]="","",IF(B100&lt;=Simulador!$F$47,PPMT(Simulador!$F$41+Simulador!$F$43,Cronograma!B100,Simulador!$F$47,-Simulador!$F$37),""))</f>
        <v/>
      </c>
      <c r="E100" s="17" t="str">
        <f>IF(B99&lt;Simulador!$F$47,(IPMT(Simulador!$F$41+Simulador!$F$43,Tabla1[[#This Row],[Periodo]],Simulador!$F$47,-Simulador!$F$37)-Tabla1[[#This Row],[Seguro Desgravamen]]),"")</f>
        <v/>
      </c>
      <c r="F100" s="17" t="str">
        <f>IF(B99&lt;Simulador!$F$47,C100*Simulador!$F$43,"")</f>
        <v/>
      </c>
      <c r="G100" s="16" t="str">
        <f>IF(B99&lt;Simulador!$F$47,Simulador!$F$45*Simulador!$F$12/12,"")</f>
        <v/>
      </c>
      <c r="H100" s="17" t="str">
        <f>IF(B99&lt;Simulador!$F$47,C100-D100,"")</f>
        <v/>
      </c>
      <c r="I100" s="17" t="str">
        <f>IF(B99&lt;Simulador!$F$47,PMT(Simulador!$F$41+Simulador!$F$43,Simulador!$F$47,-Simulador!$F$37)+G100,"")</f>
        <v/>
      </c>
    </row>
    <row r="101" spans="1:9" ht="17.100000000000001" customHeight="1" x14ac:dyDescent="0.25">
      <c r="A101" s="14"/>
      <c r="B101" s="13" t="str">
        <f>IF(B100&lt;Simulador!$F$47,B100+1,"")</f>
        <v/>
      </c>
      <c r="C101" s="16" t="str">
        <f>IF(B100&lt;Simulador!$F$47,H100,"")</f>
        <v/>
      </c>
      <c r="D101" s="17" t="str">
        <f>IF(Tabla1[[#This Row],[Periodo]]="","",IF(B101&lt;=Simulador!$F$47,PPMT(Simulador!$F$41+Simulador!$F$43,Cronograma!B101,Simulador!$F$47,-Simulador!$F$37),""))</f>
        <v/>
      </c>
      <c r="E101" s="17" t="str">
        <f>IF(B100&lt;Simulador!$F$47,(IPMT(Simulador!$F$41+Simulador!$F$43,Tabla1[[#This Row],[Periodo]],Simulador!$F$47,-Simulador!$F$37)-Tabla1[[#This Row],[Seguro Desgravamen]]),"")</f>
        <v/>
      </c>
      <c r="F101" s="17" t="str">
        <f>IF(B100&lt;Simulador!$F$47,C101*Simulador!$F$43,"")</f>
        <v/>
      </c>
      <c r="G101" s="16" t="str">
        <f>IF(B100&lt;Simulador!$F$47,Simulador!$F$45*Simulador!$F$12/12,"")</f>
        <v/>
      </c>
      <c r="H101" s="17" t="str">
        <f>IF(B100&lt;Simulador!$F$47,C101-D101,"")</f>
        <v/>
      </c>
      <c r="I101" s="17" t="str">
        <f>IF(B100&lt;Simulador!$F$47,PMT(Simulador!$F$41+Simulador!$F$43,Simulador!$F$47,-Simulador!$F$37)+G101,"")</f>
        <v/>
      </c>
    </row>
    <row r="102" spans="1:9" ht="17.100000000000001" customHeight="1" x14ac:dyDescent="0.25">
      <c r="A102" s="14"/>
      <c r="B102" s="13" t="str">
        <f>IF(B101&lt;Simulador!$F$47,B101+1,"")</f>
        <v/>
      </c>
      <c r="C102" s="16" t="str">
        <f>IF(B101&lt;Simulador!$F$47,H101,"")</f>
        <v/>
      </c>
      <c r="D102" s="17" t="str">
        <f>IF(Tabla1[[#This Row],[Periodo]]="","",IF(B102&lt;=Simulador!$F$47,PPMT(Simulador!$F$41+Simulador!$F$43,Cronograma!B102,Simulador!$F$47,-Simulador!$F$37),""))</f>
        <v/>
      </c>
      <c r="E102" s="17" t="str">
        <f>IF(B101&lt;Simulador!$F$47,(IPMT(Simulador!$F$41+Simulador!$F$43,Tabla1[[#This Row],[Periodo]],Simulador!$F$47,-Simulador!$F$37)-Tabla1[[#This Row],[Seguro Desgravamen]]),"")</f>
        <v/>
      </c>
      <c r="F102" s="17" t="str">
        <f>IF(B101&lt;Simulador!$F$47,C102*Simulador!$F$43,"")</f>
        <v/>
      </c>
      <c r="G102" s="16" t="str">
        <f>IF(B101&lt;Simulador!$F$47,Simulador!$F$45*Simulador!$F$12/12,"")</f>
        <v/>
      </c>
      <c r="H102" s="17" t="str">
        <f>IF(B101&lt;Simulador!$F$47,C102-D102,"")</f>
        <v/>
      </c>
      <c r="I102" s="17" t="str">
        <f>IF(B101&lt;Simulador!$F$47,PMT(Simulador!$F$41+Simulador!$F$43,Simulador!$F$47,-Simulador!$F$37)+G102,"")</f>
        <v/>
      </c>
    </row>
    <row r="103" spans="1:9" ht="17.100000000000001" customHeight="1" x14ac:dyDescent="0.25">
      <c r="A103" s="14"/>
      <c r="B103" s="13" t="str">
        <f>IF(B102&lt;Simulador!$F$47,B102+1,"")</f>
        <v/>
      </c>
      <c r="C103" s="16" t="str">
        <f>IF(B102&lt;Simulador!$F$47,H102,"")</f>
        <v/>
      </c>
      <c r="D103" s="17" t="str">
        <f>IF(Tabla1[[#This Row],[Periodo]]="","",IF(B103&lt;=Simulador!$F$47,PPMT(Simulador!$F$41+Simulador!$F$43,Cronograma!B103,Simulador!$F$47,-Simulador!$F$37),""))</f>
        <v/>
      </c>
      <c r="E103" s="17" t="str">
        <f>IF(B102&lt;Simulador!$F$47,(IPMT(Simulador!$F$41+Simulador!$F$43,Tabla1[[#This Row],[Periodo]],Simulador!$F$47,-Simulador!$F$37)-Tabla1[[#This Row],[Seguro Desgravamen]]),"")</f>
        <v/>
      </c>
      <c r="F103" s="17" t="str">
        <f>IF(B102&lt;Simulador!$F$47,C103*Simulador!$F$43,"")</f>
        <v/>
      </c>
      <c r="G103" s="16" t="str">
        <f>IF(B102&lt;Simulador!$F$47,Simulador!$F$45*Simulador!$F$12/12,"")</f>
        <v/>
      </c>
      <c r="H103" s="17" t="str">
        <f>IF(B102&lt;Simulador!$F$47,C103-D103,"")</f>
        <v/>
      </c>
      <c r="I103" s="17" t="str">
        <f>IF(B102&lt;Simulador!$F$47,PMT(Simulador!$F$41+Simulador!$F$43,Simulador!$F$47,-Simulador!$F$37)+G103,"")</f>
        <v/>
      </c>
    </row>
    <row r="104" spans="1:9" ht="17.100000000000001" customHeight="1" x14ac:dyDescent="0.25">
      <c r="A104" s="14"/>
      <c r="B104" s="13" t="str">
        <f>IF(B103&lt;Simulador!$F$47,B103+1,"")</f>
        <v/>
      </c>
      <c r="C104" s="16" t="str">
        <f>IF(B103&lt;Simulador!$F$47,H103,"")</f>
        <v/>
      </c>
      <c r="D104" s="17" t="str">
        <f>IF(Tabla1[[#This Row],[Periodo]]="","",IF(B104&lt;=Simulador!$F$47,PPMT(Simulador!$F$41+Simulador!$F$43,Cronograma!B104,Simulador!$F$47,-Simulador!$F$37),""))</f>
        <v/>
      </c>
      <c r="E104" s="17" t="str">
        <f>IF(B103&lt;Simulador!$F$47,(IPMT(Simulador!$F$41+Simulador!$F$43,Tabla1[[#This Row],[Periodo]],Simulador!$F$47,-Simulador!$F$37)-Tabla1[[#This Row],[Seguro Desgravamen]]),"")</f>
        <v/>
      </c>
      <c r="F104" s="17" t="str">
        <f>IF(B103&lt;Simulador!$F$47,C104*Simulador!$F$43,"")</f>
        <v/>
      </c>
      <c r="G104" s="16" t="str">
        <f>IF(B103&lt;Simulador!$F$47,Simulador!$F$45*Simulador!$F$12/12,"")</f>
        <v/>
      </c>
      <c r="H104" s="17" t="str">
        <f>IF(B103&lt;Simulador!$F$47,C104-D104,"")</f>
        <v/>
      </c>
      <c r="I104" s="17" t="str">
        <f>IF(B103&lt;Simulador!$F$47,PMT(Simulador!$F$41+Simulador!$F$43,Simulador!$F$47,-Simulador!$F$37)+G104,"")</f>
        <v/>
      </c>
    </row>
    <row r="105" spans="1:9" ht="17.100000000000001" customHeight="1" x14ac:dyDescent="0.25">
      <c r="A105" s="14"/>
      <c r="B105" s="13" t="str">
        <f>IF(B104&lt;Simulador!$F$47,B104+1,"")</f>
        <v/>
      </c>
      <c r="C105" s="16" t="str">
        <f>IF(B104&lt;Simulador!$F$47,H104,"")</f>
        <v/>
      </c>
      <c r="D105" s="17" t="str">
        <f>IF(Tabla1[[#This Row],[Periodo]]="","",IF(B105&lt;=Simulador!$F$47,PPMT(Simulador!$F$41+Simulador!$F$43,Cronograma!B105,Simulador!$F$47,-Simulador!$F$37),""))</f>
        <v/>
      </c>
      <c r="E105" s="17" t="str">
        <f>IF(B104&lt;Simulador!$F$47,(IPMT(Simulador!$F$41+Simulador!$F$43,Tabla1[[#This Row],[Periodo]],Simulador!$F$47,-Simulador!$F$37)-Tabla1[[#This Row],[Seguro Desgravamen]]),"")</f>
        <v/>
      </c>
      <c r="F105" s="17" t="str">
        <f>IF(B104&lt;Simulador!$F$47,C105*Simulador!$F$43,"")</f>
        <v/>
      </c>
      <c r="G105" s="16" t="str">
        <f>IF(B104&lt;Simulador!$F$47,Simulador!$F$45*Simulador!$F$12/12,"")</f>
        <v/>
      </c>
      <c r="H105" s="17" t="str">
        <f>IF(B104&lt;Simulador!$F$47,C105-D105,"")</f>
        <v/>
      </c>
      <c r="I105" s="17" t="str">
        <f>IF(B104&lt;Simulador!$F$47,PMT(Simulador!$F$41+Simulador!$F$43,Simulador!$F$47,-Simulador!$F$37)+G105,"")</f>
        <v/>
      </c>
    </row>
    <row r="106" spans="1:9" ht="17.100000000000001" customHeight="1" x14ac:dyDescent="0.25">
      <c r="A106" s="14"/>
      <c r="B106" s="13" t="str">
        <f>IF(B105&lt;Simulador!$F$47,B105+1,"")</f>
        <v/>
      </c>
      <c r="C106" s="16" t="str">
        <f>IF(B105&lt;Simulador!$F$47,H105,"")</f>
        <v/>
      </c>
      <c r="D106" s="17" t="str">
        <f>IF(Tabla1[[#This Row],[Periodo]]="","",IF(B106&lt;=Simulador!$F$47,PPMT(Simulador!$F$41+Simulador!$F$43,Cronograma!B106,Simulador!$F$47,-Simulador!$F$37),""))</f>
        <v/>
      </c>
      <c r="E106" s="17" t="str">
        <f>IF(B105&lt;Simulador!$F$47,(IPMT(Simulador!$F$41+Simulador!$F$43,Tabla1[[#This Row],[Periodo]],Simulador!$F$47,-Simulador!$F$37)-Tabla1[[#This Row],[Seguro Desgravamen]]),"")</f>
        <v/>
      </c>
      <c r="F106" s="17" t="str">
        <f>IF(B105&lt;Simulador!$F$47,C106*Simulador!$F$43,"")</f>
        <v/>
      </c>
      <c r="G106" s="16" t="str">
        <f>IF(B105&lt;Simulador!$F$47,Simulador!$F$45*Simulador!$F$12/12,"")</f>
        <v/>
      </c>
      <c r="H106" s="17" t="str">
        <f>IF(B105&lt;Simulador!$F$47,C106-D106,"")</f>
        <v/>
      </c>
      <c r="I106" s="17" t="str">
        <f>IF(B105&lt;Simulador!$F$47,PMT(Simulador!$F$41+Simulador!$F$43,Simulador!$F$47,-Simulador!$F$37)+G106,"")</f>
        <v/>
      </c>
    </row>
    <row r="107" spans="1:9" ht="17.100000000000001" customHeight="1" x14ac:dyDescent="0.25">
      <c r="A107" s="14"/>
      <c r="B107" s="13" t="str">
        <f>IF(B106&lt;Simulador!$F$47,B106+1,"")</f>
        <v/>
      </c>
      <c r="C107" s="16" t="str">
        <f>IF(B106&lt;Simulador!$F$47,H106,"")</f>
        <v/>
      </c>
      <c r="D107" s="17" t="str">
        <f>IF(Tabla1[[#This Row],[Periodo]]="","",IF(B107&lt;=Simulador!$F$47,PPMT(Simulador!$F$41+Simulador!$F$43,Cronograma!B107,Simulador!$F$47,-Simulador!$F$37),""))</f>
        <v/>
      </c>
      <c r="E107" s="17" t="str">
        <f>IF(B106&lt;Simulador!$F$47,(IPMT(Simulador!$F$41+Simulador!$F$43,Tabla1[[#This Row],[Periodo]],Simulador!$F$47,-Simulador!$F$37)-Tabla1[[#This Row],[Seguro Desgravamen]]),"")</f>
        <v/>
      </c>
      <c r="F107" s="17" t="str">
        <f>IF(B106&lt;Simulador!$F$47,C107*Simulador!$F$43,"")</f>
        <v/>
      </c>
      <c r="G107" s="16" t="str">
        <f>IF(B106&lt;Simulador!$F$47,Simulador!$F$45*Simulador!$F$12/12,"")</f>
        <v/>
      </c>
      <c r="H107" s="17" t="str">
        <f>IF(B106&lt;Simulador!$F$47,C107-D107,"")</f>
        <v/>
      </c>
      <c r="I107" s="17" t="str">
        <f>IF(B106&lt;Simulador!$F$47,PMT(Simulador!$F$41+Simulador!$F$43,Simulador!$F$47,-Simulador!$F$37)+G107,"")</f>
        <v/>
      </c>
    </row>
    <row r="108" spans="1:9" ht="17.100000000000001" customHeight="1" x14ac:dyDescent="0.25">
      <c r="A108" s="14"/>
      <c r="B108" s="13" t="str">
        <f>IF(B107&lt;Simulador!$F$47,B107+1,"")</f>
        <v/>
      </c>
      <c r="C108" s="16" t="str">
        <f>IF(B107&lt;Simulador!$F$47,H107,"")</f>
        <v/>
      </c>
      <c r="D108" s="17" t="str">
        <f>IF(Tabla1[[#This Row],[Periodo]]="","",IF(B108&lt;=Simulador!$F$47,PPMT(Simulador!$F$41+Simulador!$F$43,Cronograma!B108,Simulador!$F$47,-Simulador!$F$37),""))</f>
        <v/>
      </c>
      <c r="E108" s="17" t="str">
        <f>IF(B107&lt;Simulador!$F$47,(IPMT(Simulador!$F$41+Simulador!$F$43,Tabla1[[#This Row],[Periodo]],Simulador!$F$47,-Simulador!$F$37)-Tabla1[[#This Row],[Seguro Desgravamen]]),"")</f>
        <v/>
      </c>
      <c r="F108" s="17" t="str">
        <f>IF(B107&lt;Simulador!$F$47,C108*Simulador!$F$43,"")</f>
        <v/>
      </c>
      <c r="G108" s="16" t="str">
        <f>IF(B107&lt;Simulador!$F$47,Simulador!$F$45*Simulador!$F$12/12,"")</f>
        <v/>
      </c>
      <c r="H108" s="17" t="str">
        <f>IF(B107&lt;Simulador!$F$47,C108-D108,"")</f>
        <v/>
      </c>
      <c r="I108" s="17" t="str">
        <f>IF(B107&lt;Simulador!$F$47,PMT(Simulador!$F$41+Simulador!$F$43,Simulador!$F$47,-Simulador!$F$37)+G108,"")</f>
        <v/>
      </c>
    </row>
    <row r="109" spans="1:9" ht="17.100000000000001" customHeight="1" x14ac:dyDescent="0.25">
      <c r="A109" s="14"/>
      <c r="B109" s="13" t="str">
        <f>IF(B108&lt;Simulador!$F$47,B108+1,"")</f>
        <v/>
      </c>
      <c r="C109" s="16" t="str">
        <f>IF(B108&lt;Simulador!$F$47,H108,"")</f>
        <v/>
      </c>
      <c r="D109" s="17" t="str">
        <f>IF(Tabla1[[#This Row],[Periodo]]="","",IF(B109&lt;=Simulador!$F$47,PPMT(Simulador!$F$41+Simulador!$F$43,Cronograma!B109,Simulador!$F$47,-Simulador!$F$37),""))</f>
        <v/>
      </c>
      <c r="E109" s="17" t="str">
        <f>IF(B108&lt;Simulador!$F$47,(IPMT(Simulador!$F$41+Simulador!$F$43,Tabla1[[#This Row],[Periodo]],Simulador!$F$47,-Simulador!$F$37)-Tabla1[[#This Row],[Seguro Desgravamen]]),"")</f>
        <v/>
      </c>
      <c r="F109" s="17" t="str">
        <f>IF(B108&lt;Simulador!$F$47,C109*Simulador!$F$43,"")</f>
        <v/>
      </c>
      <c r="G109" s="16" t="str">
        <f>IF(B108&lt;Simulador!$F$47,Simulador!$F$45*Simulador!$F$12/12,"")</f>
        <v/>
      </c>
      <c r="H109" s="17" t="str">
        <f>IF(B108&lt;Simulador!$F$47,C109-D109,"")</f>
        <v/>
      </c>
      <c r="I109" s="17" t="str">
        <f>IF(B108&lt;Simulador!$F$47,PMT(Simulador!$F$41+Simulador!$F$43,Simulador!$F$47,-Simulador!$F$37)+G109,"")</f>
        <v/>
      </c>
    </row>
    <row r="110" spans="1:9" ht="17.100000000000001" customHeight="1" x14ac:dyDescent="0.25">
      <c r="A110" s="14"/>
      <c r="B110" s="13" t="str">
        <f>IF(B109&lt;Simulador!$F$47,B109+1,"")</f>
        <v/>
      </c>
      <c r="C110" s="16" t="str">
        <f>IF(B109&lt;Simulador!$F$47,H109,"")</f>
        <v/>
      </c>
      <c r="D110" s="17" t="str">
        <f>IF(Tabla1[[#This Row],[Periodo]]="","",IF(B110&lt;=Simulador!$F$47,PPMT(Simulador!$F$41+Simulador!$F$43,Cronograma!B110,Simulador!$F$47,-Simulador!$F$37),""))</f>
        <v/>
      </c>
      <c r="E110" s="17" t="str">
        <f>IF(B109&lt;Simulador!$F$47,(IPMT(Simulador!$F$41+Simulador!$F$43,Tabla1[[#This Row],[Periodo]],Simulador!$F$47,-Simulador!$F$37)-Tabla1[[#This Row],[Seguro Desgravamen]]),"")</f>
        <v/>
      </c>
      <c r="F110" s="17" t="str">
        <f>IF(B109&lt;Simulador!$F$47,C110*Simulador!$F$43,"")</f>
        <v/>
      </c>
      <c r="G110" s="16" t="str">
        <f>IF(B109&lt;Simulador!$F$47,Simulador!$F$45*Simulador!$F$12/12,"")</f>
        <v/>
      </c>
      <c r="H110" s="17" t="str">
        <f>IF(B109&lt;Simulador!$F$47,C110-D110,"")</f>
        <v/>
      </c>
      <c r="I110" s="17" t="str">
        <f>IF(B109&lt;Simulador!$F$47,PMT(Simulador!$F$41+Simulador!$F$43,Simulador!$F$47,-Simulador!$F$37)+G110,"")</f>
        <v/>
      </c>
    </row>
    <row r="111" spans="1:9" ht="17.100000000000001" customHeight="1" x14ac:dyDescent="0.25">
      <c r="A111" s="14"/>
      <c r="B111" s="13" t="str">
        <f>IF(B110&lt;Simulador!$F$47,B110+1,"")</f>
        <v/>
      </c>
      <c r="C111" s="16" t="str">
        <f>IF(B110&lt;Simulador!$F$47,H110,"")</f>
        <v/>
      </c>
      <c r="D111" s="17" t="str">
        <f>IF(Tabla1[[#This Row],[Periodo]]="","",IF(B111&lt;=Simulador!$F$47,PPMT(Simulador!$F$41+Simulador!$F$43,Cronograma!B111,Simulador!$F$47,-Simulador!$F$37),""))</f>
        <v/>
      </c>
      <c r="E111" s="17" t="str">
        <f>IF(B110&lt;Simulador!$F$47,(IPMT(Simulador!$F$41+Simulador!$F$43,Tabla1[[#This Row],[Periodo]],Simulador!$F$47,-Simulador!$F$37)-Tabla1[[#This Row],[Seguro Desgravamen]]),"")</f>
        <v/>
      </c>
      <c r="F111" s="17" t="str">
        <f>IF(B110&lt;Simulador!$F$47,C111*Simulador!$F$43,"")</f>
        <v/>
      </c>
      <c r="G111" s="16" t="str">
        <f>IF(B110&lt;Simulador!$F$47,Simulador!$F$45*Simulador!$F$12/12,"")</f>
        <v/>
      </c>
      <c r="H111" s="17" t="str">
        <f>IF(B110&lt;Simulador!$F$47,C111-D111,"")</f>
        <v/>
      </c>
      <c r="I111" s="17" t="str">
        <f>IF(B110&lt;Simulador!$F$47,PMT(Simulador!$F$41+Simulador!$F$43,Simulador!$F$47,-Simulador!$F$37)+G111,"")</f>
        <v/>
      </c>
    </row>
    <row r="112" spans="1:9" ht="17.100000000000001" customHeight="1" x14ac:dyDescent="0.25">
      <c r="A112" s="14"/>
      <c r="B112" s="13" t="str">
        <f>IF(B111&lt;Simulador!$F$47,B111+1,"")</f>
        <v/>
      </c>
      <c r="C112" s="16" t="str">
        <f>IF(B111&lt;Simulador!$F$47,H111,"")</f>
        <v/>
      </c>
      <c r="D112" s="17" t="str">
        <f>IF(Tabla1[[#This Row],[Periodo]]="","",IF(B112&lt;=Simulador!$F$47,PPMT(Simulador!$F$41+Simulador!$F$43,Cronograma!B112,Simulador!$F$47,-Simulador!$F$37),""))</f>
        <v/>
      </c>
      <c r="E112" s="17" t="str">
        <f>IF(B111&lt;Simulador!$F$47,(IPMT(Simulador!$F$41+Simulador!$F$43,Tabla1[[#This Row],[Periodo]],Simulador!$F$47,-Simulador!$F$37)-Tabla1[[#This Row],[Seguro Desgravamen]]),"")</f>
        <v/>
      </c>
      <c r="F112" s="17" t="str">
        <f>IF(B111&lt;Simulador!$F$47,C112*Simulador!$F$43,"")</f>
        <v/>
      </c>
      <c r="G112" s="16" t="str">
        <f>IF(B111&lt;Simulador!$F$47,Simulador!$F$45*Simulador!$F$12/12,"")</f>
        <v/>
      </c>
      <c r="H112" s="17" t="str">
        <f>IF(B111&lt;Simulador!$F$47,C112-D112,"")</f>
        <v/>
      </c>
      <c r="I112" s="17" t="str">
        <f>IF(B111&lt;Simulador!$F$47,PMT(Simulador!$F$41+Simulador!$F$43,Simulador!$F$47,-Simulador!$F$37)+G112,"")</f>
        <v/>
      </c>
    </row>
    <row r="113" spans="1:9" ht="17.100000000000001" customHeight="1" x14ac:dyDescent="0.25">
      <c r="A113" s="14"/>
      <c r="B113" s="13" t="str">
        <f>IF(B112&lt;Simulador!$F$47,B112+1,"")</f>
        <v/>
      </c>
      <c r="C113" s="16" t="str">
        <f>IF(B112&lt;Simulador!$F$47,H112,"")</f>
        <v/>
      </c>
      <c r="D113" s="17" t="str">
        <f>IF(Tabla1[[#This Row],[Periodo]]="","",IF(B113&lt;=Simulador!$F$47,PPMT(Simulador!$F$41+Simulador!$F$43,Cronograma!B113,Simulador!$F$47,-Simulador!$F$37),""))</f>
        <v/>
      </c>
      <c r="E113" s="17" t="str">
        <f>IF(B112&lt;Simulador!$F$47,(IPMT(Simulador!$F$41+Simulador!$F$43,Tabla1[[#This Row],[Periodo]],Simulador!$F$47,-Simulador!$F$37)-Tabla1[[#This Row],[Seguro Desgravamen]]),"")</f>
        <v/>
      </c>
      <c r="F113" s="17" t="str">
        <f>IF(B112&lt;Simulador!$F$47,C113*Simulador!$F$43,"")</f>
        <v/>
      </c>
      <c r="G113" s="16" t="str">
        <f>IF(B112&lt;Simulador!$F$47,Simulador!$F$45*Simulador!$F$12/12,"")</f>
        <v/>
      </c>
      <c r="H113" s="17" t="str">
        <f>IF(B112&lt;Simulador!$F$47,C113-D113,"")</f>
        <v/>
      </c>
      <c r="I113" s="17" t="str">
        <f>IF(B112&lt;Simulador!$F$47,PMT(Simulador!$F$41+Simulador!$F$43,Simulador!$F$47,-Simulador!$F$37)+G113,"")</f>
        <v/>
      </c>
    </row>
    <row r="114" spans="1:9" ht="17.100000000000001" customHeight="1" x14ac:dyDescent="0.25">
      <c r="A114" s="14"/>
      <c r="B114" s="13" t="str">
        <f>IF(B113&lt;Simulador!$F$47,B113+1,"")</f>
        <v/>
      </c>
      <c r="C114" s="16" t="str">
        <f>IF(B113&lt;Simulador!$F$47,H113,"")</f>
        <v/>
      </c>
      <c r="D114" s="17" t="str">
        <f>IF(Tabla1[[#This Row],[Periodo]]="","",IF(B114&lt;=Simulador!$F$47,PPMT(Simulador!$F$41+Simulador!$F$43,Cronograma!B114,Simulador!$F$47,-Simulador!$F$37),""))</f>
        <v/>
      </c>
      <c r="E114" s="17" t="str">
        <f>IF(B113&lt;Simulador!$F$47,(IPMT(Simulador!$F$41+Simulador!$F$43,Tabla1[[#This Row],[Periodo]],Simulador!$F$47,-Simulador!$F$37)-Tabla1[[#This Row],[Seguro Desgravamen]]),"")</f>
        <v/>
      </c>
      <c r="F114" s="17" t="str">
        <f>IF(B113&lt;Simulador!$F$47,C114*Simulador!$F$43,"")</f>
        <v/>
      </c>
      <c r="G114" s="16" t="str">
        <f>IF(B113&lt;Simulador!$F$47,Simulador!$F$45*Simulador!$F$12/12,"")</f>
        <v/>
      </c>
      <c r="H114" s="17" t="str">
        <f>IF(B113&lt;Simulador!$F$47,C114-D114,"")</f>
        <v/>
      </c>
      <c r="I114" s="17" t="str">
        <f>IF(B113&lt;Simulador!$F$47,PMT(Simulador!$F$41+Simulador!$F$43,Simulador!$F$47,-Simulador!$F$37)+G114,"")</f>
        <v/>
      </c>
    </row>
    <row r="115" spans="1:9" ht="17.100000000000001" customHeight="1" x14ac:dyDescent="0.25">
      <c r="A115" s="14"/>
      <c r="B115" s="13" t="str">
        <f>IF(B114&lt;Simulador!$F$47,B114+1,"")</f>
        <v/>
      </c>
      <c r="C115" s="16" t="str">
        <f>IF(B114&lt;Simulador!$F$47,H114,"")</f>
        <v/>
      </c>
      <c r="D115" s="17" t="str">
        <f>IF(Tabla1[[#This Row],[Periodo]]="","",IF(B115&lt;=Simulador!$F$47,PPMT(Simulador!$F$41+Simulador!$F$43,Cronograma!B115,Simulador!$F$47,-Simulador!$F$37),""))</f>
        <v/>
      </c>
      <c r="E115" s="17" t="str">
        <f>IF(B114&lt;Simulador!$F$47,(IPMT(Simulador!$F$41+Simulador!$F$43,Tabla1[[#This Row],[Periodo]],Simulador!$F$47,-Simulador!$F$37)-Tabla1[[#This Row],[Seguro Desgravamen]]),"")</f>
        <v/>
      </c>
      <c r="F115" s="17" t="str">
        <f>IF(B114&lt;Simulador!$F$47,C115*Simulador!$F$43,"")</f>
        <v/>
      </c>
      <c r="G115" s="16" t="str">
        <f>IF(B114&lt;Simulador!$F$47,Simulador!$F$45*Simulador!$F$12/12,"")</f>
        <v/>
      </c>
      <c r="H115" s="17" t="str">
        <f>IF(B114&lt;Simulador!$F$47,C115-D115,"")</f>
        <v/>
      </c>
      <c r="I115" s="17" t="str">
        <f>IF(B114&lt;Simulador!$F$47,PMT(Simulador!$F$41+Simulador!$F$43,Simulador!$F$47,-Simulador!$F$37)+G115,"")</f>
        <v/>
      </c>
    </row>
    <row r="116" spans="1:9" ht="17.100000000000001" customHeight="1" x14ac:dyDescent="0.25">
      <c r="A116" s="14"/>
      <c r="B116" s="13" t="str">
        <f>IF(B115&lt;Simulador!$F$47,B115+1,"")</f>
        <v/>
      </c>
      <c r="C116" s="16" t="str">
        <f>IF(B115&lt;Simulador!$F$47,H115,"")</f>
        <v/>
      </c>
      <c r="D116" s="17" t="str">
        <f>IF(Tabla1[[#This Row],[Periodo]]="","",IF(B116&lt;=Simulador!$F$47,PPMT(Simulador!$F$41+Simulador!$F$43,Cronograma!B116,Simulador!$F$47,-Simulador!$F$37),""))</f>
        <v/>
      </c>
      <c r="E116" s="17" t="str">
        <f>IF(B115&lt;Simulador!$F$47,(IPMT(Simulador!$F$41+Simulador!$F$43,Tabla1[[#This Row],[Periodo]],Simulador!$F$47,-Simulador!$F$37)-Tabla1[[#This Row],[Seguro Desgravamen]]),"")</f>
        <v/>
      </c>
      <c r="F116" s="17" t="str">
        <f>IF(B115&lt;Simulador!$F$47,C116*Simulador!$F$43,"")</f>
        <v/>
      </c>
      <c r="G116" s="16" t="str">
        <f>IF(B115&lt;Simulador!$F$47,Simulador!$F$45*Simulador!$F$12/12,"")</f>
        <v/>
      </c>
      <c r="H116" s="17" t="str">
        <f>IF(B115&lt;Simulador!$F$47,C116-D116,"")</f>
        <v/>
      </c>
      <c r="I116" s="17" t="str">
        <f>IF(B115&lt;Simulador!$F$47,PMT(Simulador!$F$41+Simulador!$F$43,Simulador!$F$47,-Simulador!$F$37)+G116,"")</f>
        <v/>
      </c>
    </row>
    <row r="117" spans="1:9" ht="17.100000000000001" customHeight="1" x14ac:dyDescent="0.25">
      <c r="A117" s="14"/>
      <c r="B117" s="13" t="str">
        <f>IF(B116&lt;Simulador!$F$47,B116+1,"")</f>
        <v/>
      </c>
      <c r="C117" s="16" t="str">
        <f>IF(B116&lt;Simulador!$F$47,H116,"")</f>
        <v/>
      </c>
      <c r="D117" s="17" t="str">
        <f>IF(Tabla1[[#This Row],[Periodo]]="","",IF(B117&lt;=Simulador!$F$47,PPMT(Simulador!$F$41+Simulador!$F$43,Cronograma!B117,Simulador!$F$47,-Simulador!$F$37),""))</f>
        <v/>
      </c>
      <c r="E117" s="17" t="str">
        <f>IF(B116&lt;Simulador!$F$47,(IPMT(Simulador!$F$41+Simulador!$F$43,Tabla1[[#This Row],[Periodo]],Simulador!$F$47,-Simulador!$F$37)-Tabla1[[#This Row],[Seguro Desgravamen]]),"")</f>
        <v/>
      </c>
      <c r="F117" s="17" t="str">
        <f>IF(B116&lt;Simulador!$F$47,C117*Simulador!$F$43,"")</f>
        <v/>
      </c>
      <c r="G117" s="16" t="str">
        <f>IF(B116&lt;Simulador!$F$47,Simulador!$F$45*Simulador!$F$12/12,"")</f>
        <v/>
      </c>
      <c r="H117" s="17" t="str">
        <f>IF(B116&lt;Simulador!$F$47,C117-D117,"")</f>
        <v/>
      </c>
      <c r="I117" s="17" t="str">
        <f>IF(B116&lt;Simulador!$F$47,PMT(Simulador!$F$41+Simulador!$F$43,Simulador!$F$47,-Simulador!$F$37)+G117,"")</f>
        <v/>
      </c>
    </row>
    <row r="118" spans="1:9" ht="17.100000000000001" customHeight="1" x14ac:dyDescent="0.25">
      <c r="A118" s="14"/>
      <c r="B118" s="13" t="str">
        <f>IF(B117&lt;Simulador!$F$47,B117+1,"")</f>
        <v/>
      </c>
      <c r="C118" s="16" t="str">
        <f>IF(B117&lt;Simulador!$F$47,H117,"")</f>
        <v/>
      </c>
      <c r="D118" s="17" t="str">
        <f>IF(Tabla1[[#This Row],[Periodo]]="","",IF(B118&lt;=Simulador!$F$47,PPMT(Simulador!$F$41+Simulador!$F$43,Cronograma!B118,Simulador!$F$47,-Simulador!$F$37),""))</f>
        <v/>
      </c>
      <c r="E118" s="17" t="str">
        <f>IF(B117&lt;Simulador!$F$47,(IPMT(Simulador!$F$41+Simulador!$F$43,Tabla1[[#This Row],[Periodo]],Simulador!$F$47,-Simulador!$F$37)-Tabla1[[#This Row],[Seguro Desgravamen]]),"")</f>
        <v/>
      </c>
      <c r="F118" s="17" t="str">
        <f>IF(B117&lt;Simulador!$F$47,C118*Simulador!$F$43,"")</f>
        <v/>
      </c>
      <c r="G118" s="16" t="str">
        <f>IF(B117&lt;Simulador!$F$47,Simulador!$F$45*Simulador!$F$12/12,"")</f>
        <v/>
      </c>
      <c r="H118" s="17" t="str">
        <f>IF(B117&lt;Simulador!$F$47,C118-D118,"")</f>
        <v/>
      </c>
      <c r="I118" s="17" t="str">
        <f>IF(B117&lt;Simulador!$F$47,PMT(Simulador!$F$41+Simulador!$F$43,Simulador!$F$47,-Simulador!$F$37)+G118,"")</f>
        <v/>
      </c>
    </row>
    <row r="119" spans="1:9" ht="17.100000000000001" customHeight="1" x14ac:dyDescent="0.25">
      <c r="A119" s="14"/>
      <c r="B119" s="13" t="str">
        <f>IF(B118&lt;Simulador!$F$47,B118+1,"")</f>
        <v/>
      </c>
      <c r="C119" s="16" t="str">
        <f>IF(B118&lt;Simulador!$F$47,H118,"")</f>
        <v/>
      </c>
      <c r="D119" s="17" t="str">
        <f>IF(Tabla1[[#This Row],[Periodo]]="","",IF(B119&lt;=Simulador!$F$47,PPMT(Simulador!$F$41+Simulador!$F$43,Cronograma!B119,Simulador!$F$47,-Simulador!$F$37),""))</f>
        <v/>
      </c>
      <c r="E119" s="17" t="str">
        <f>IF(B118&lt;Simulador!$F$47,(IPMT(Simulador!$F$41+Simulador!$F$43,Tabla1[[#This Row],[Periodo]],Simulador!$F$47,-Simulador!$F$37)-Tabla1[[#This Row],[Seguro Desgravamen]]),"")</f>
        <v/>
      </c>
      <c r="F119" s="17" t="str">
        <f>IF(B118&lt;Simulador!$F$47,C119*Simulador!$F$43,"")</f>
        <v/>
      </c>
      <c r="G119" s="16" t="str">
        <f>IF(B118&lt;Simulador!$F$47,Simulador!$F$45*Simulador!$F$12/12,"")</f>
        <v/>
      </c>
      <c r="H119" s="17" t="str">
        <f>IF(B118&lt;Simulador!$F$47,C119-D119,"")</f>
        <v/>
      </c>
      <c r="I119" s="17" t="str">
        <f>IF(B118&lt;Simulador!$F$47,PMT(Simulador!$F$41+Simulador!$F$43,Simulador!$F$47,-Simulador!$F$37)+G119,"")</f>
        <v/>
      </c>
    </row>
    <row r="120" spans="1:9" ht="17.100000000000001" customHeight="1" x14ac:dyDescent="0.25">
      <c r="A120" s="14"/>
      <c r="B120" s="13" t="str">
        <f>IF(B119&lt;Simulador!$F$47,B119+1,"")</f>
        <v/>
      </c>
      <c r="C120" s="16" t="str">
        <f>IF(B119&lt;Simulador!$F$47,H119,"")</f>
        <v/>
      </c>
      <c r="D120" s="17" t="str">
        <f>IF(Tabla1[[#This Row],[Periodo]]="","",IF(B120&lt;=Simulador!$F$47,PPMT(Simulador!$F$41+Simulador!$F$43,Cronograma!B120,Simulador!$F$47,-Simulador!$F$37),""))</f>
        <v/>
      </c>
      <c r="E120" s="17" t="str">
        <f>IF(B119&lt;Simulador!$F$47,(IPMT(Simulador!$F$41+Simulador!$F$43,Tabla1[[#This Row],[Periodo]],Simulador!$F$47,-Simulador!$F$37)-Tabla1[[#This Row],[Seguro Desgravamen]]),"")</f>
        <v/>
      </c>
      <c r="F120" s="17" t="str">
        <f>IF(B119&lt;Simulador!$F$47,C120*Simulador!$F$43,"")</f>
        <v/>
      </c>
      <c r="G120" s="16" t="str">
        <f>IF(B119&lt;Simulador!$F$47,Simulador!$F$45*Simulador!$F$12/12,"")</f>
        <v/>
      </c>
      <c r="H120" s="17" t="str">
        <f>IF(B119&lt;Simulador!$F$47,C120-D120,"")</f>
        <v/>
      </c>
      <c r="I120" s="17" t="str">
        <f>IF(B119&lt;Simulador!$F$47,PMT(Simulador!$F$41+Simulador!$F$43,Simulador!$F$47,-Simulador!$F$37)+G120,"")</f>
        <v/>
      </c>
    </row>
    <row r="121" spans="1:9" ht="17.100000000000001" customHeight="1" x14ac:dyDescent="0.25">
      <c r="A121" s="14"/>
      <c r="B121" s="13" t="str">
        <f>IF(B120&lt;Simulador!$F$47,B120+1,"")</f>
        <v/>
      </c>
      <c r="C121" s="16" t="str">
        <f>IF(B120&lt;Simulador!$F$47,H120,"")</f>
        <v/>
      </c>
      <c r="D121" s="17" t="str">
        <f>IF(Tabla1[[#This Row],[Periodo]]="","",IF(B121&lt;=Simulador!$F$47,PPMT(Simulador!$F$41+Simulador!$F$43,Cronograma!B121,Simulador!$F$47,-Simulador!$F$37),""))</f>
        <v/>
      </c>
      <c r="E121" s="17" t="str">
        <f>IF(B120&lt;Simulador!$F$47,(IPMT(Simulador!$F$41+Simulador!$F$43,Tabla1[[#This Row],[Periodo]],Simulador!$F$47,-Simulador!$F$37)-Tabla1[[#This Row],[Seguro Desgravamen]]),"")</f>
        <v/>
      </c>
      <c r="F121" s="17" t="str">
        <f>IF(B120&lt;Simulador!$F$47,C121*Simulador!$F$43,"")</f>
        <v/>
      </c>
      <c r="G121" s="16" t="str">
        <f>IF(B120&lt;Simulador!$F$47,Simulador!$F$45*Simulador!$F$12/12,"")</f>
        <v/>
      </c>
      <c r="H121" s="17" t="str">
        <f>IF(B120&lt;Simulador!$F$47,C121-D121,"")</f>
        <v/>
      </c>
      <c r="I121" s="17" t="str">
        <f>IF(B120&lt;Simulador!$F$47,PMT(Simulador!$F$41+Simulador!$F$43,Simulador!$F$47,-Simulador!$F$37)+G121,"")</f>
        <v/>
      </c>
    </row>
    <row r="122" spans="1:9" ht="17.100000000000001" customHeight="1" x14ac:dyDescent="0.25">
      <c r="A122" s="14"/>
      <c r="B122" s="13" t="str">
        <f>IF(B121&lt;Simulador!$F$47,B121+1,"")</f>
        <v/>
      </c>
      <c r="C122" s="16" t="str">
        <f>IF(B121&lt;Simulador!$F$47,H121,"")</f>
        <v/>
      </c>
      <c r="D122" s="17" t="str">
        <f>IF(Tabla1[[#This Row],[Periodo]]="","",IF(B122&lt;=Simulador!$F$47,PPMT(Simulador!$F$41+Simulador!$F$43,Cronograma!B122,Simulador!$F$47,-Simulador!$F$37),""))</f>
        <v/>
      </c>
      <c r="E122" s="17" t="str">
        <f>IF(B121&lt;Simulador!$F$47,(IPMT(Simulador!$F$41+Simulador!$F$43,Tabla1[[#This Row],[Periodo]],Simulador!$F$47,-Simulador!$F$37)-Tabla1[[#This Row],[Seguro Desgravamen]]),"")</f>
        <v/>
      </c>
      <c r="F122" s="17" t="str">
        <f>IF(B121&lt;Simulador!$F$47,C122*Simulador!$F$43,"")</f>
        <v/>
      </c>
      <c r="G122" s="16" t="str">
        <f>IF(B121&lt;Simulador!$F$47,Simulador!$F$45*Simulador!$F$12/12,"")</f>
        <v/>
      </c>
      <c r="H122" s="17" t="str">
        <f>IF(B121&lt;Simulador!$F$47,C122-D122,"")</f>
        <v/>
      </c>
      <c r="I122" s="17" t="str">
        <f>IF(B121&lt;Simulador!$F$47,PMT(Simulador!$F$41+Simulador!$F$43,Simulador!$F$47,-Simulador!$F$37)+G122,"")</f>
        <v/>
      </c>
    </row>
    <row r="123" spans="1:9" ht="17.100000000000001" customHeight="1" x14ac:dyDescent="0.25">
      <c r="A123" s="14"/>
      <c r="B123" s="13" t="str">
        <f>IF(B122&lt;Simulador!$F$47,B122+1,"")</f>
        <v/>
      </c>
      <c r="C123" s="16" t="str">
        <f>IF(B122&lt;Simulador!$F$47,H122,"")</f>
        <v/>
      </c>
      <c r="D123" s="17" t="str">
        <f>IF(Tabla1[[#This Row],[Periodo]]="","",IF(B123&lt;=Simulador!$F$47,PPMT(Simulador!$F$41+Simulador!$F$43,Cronograma!B123,Simulador!$F$47,-Simulador!$F$37),""))</f>
        <v/>
      </c>
      <c r="E123" s="17" t="str">
        <f>IF(B122&lt;Simulador!$F$47,(IPMT(Simulador!$F$41+Simulador!$F$43,Tabla1[[#This Row],[Periodo]],Simulador!$F$47,-Simulador!$F$37)-Tabla1[[#This Row],[Seguro Desgravamen]]),"")</f>
        <v/>
      </c>
      <c r="F123" s="17" t="str">
        <f>IF(B122&lt;Simulador!$F$47,C123*Simulador!$F$43,"")</f>
        <v/>
      </c>
      <c r="G123" s="16" t="str">
        <f>IF(B122&lt;Simulador!$F$47,Simulador!$F$45*Simulador!$F$12/12,"")</f>
        <v/>
      </c>
      <c r="H123" s="17" t="str">
        <f>IF(B122&lt;Simulador!$F$47,C123-D123,"")</f>
        <v/>
      </c>
      <c r="I123" s="17" t="str">
        <f>IF(B122&lt;Simulador!$F$47,PMT(Simulador!$F$41+Simulador!$F$43,Simulador!$F$47,-Simulador!$F$37)+G123,"")</f>
        <v/>
      </c>
    </row>
    <row r="124" spans="1:9" ht="17.100000000000001" customHeight="1" x14ac:dyDescent="0.25">
      <c r="A124" s="14"/>
      <c r="B124" s="13" t="str">
        <f>IF(B123&lt;Simulador!$F$47,B123+1,"")</f>
        <v/>
      </c>
      <c r="C124" s="16" t="str">
        <f>IF(B123&lt;Simulador!$F$47,H123,"")</f>
        <v/>
      </c>
      <c r="D124" s="17" t="str">
        <f>IF(Tabla1[[#This Row],[Periodo]]="","",IF(B124&lt;=Simulador!$F$47,PPMT(Simulador!$F$41+Simulador!$F$43,Cronograma!B124,Simulador!$F$47,-Simulador!$F$37),""))</f>
        <v/>
      </c>
      <c r="E124" s="17" t="str">
        <f>IF(B123&lt;Simulador!$F$47,(IPMT(Simulador!$F$41+Simulador!$F$43,Tabla1[[#This Row],[Periodo]],Simulador!$F$47,-Simulador!$F$37)-Tabla1[[#This Row],[Seguro Desgravamen]]),"")</f>
        <v/>
      </c>
      <c r="F124" s="17" t="str">
        <f>IF(B123&lt;Simulador!$F$47,C124*Simulador!$F$43,"")</f>
        <v/>
      </c>
      <c r="G124" s="16" t="str">
        <f>IF(B123&lt;Simulador!$F$47,Simulador!$F$45*Simulador!$F$12/12,"")</f>
        <v/>
      </c>
      <c r="H124" s="17" t="str">
        <f>IF(B123&lt;Simulador!$F$47,C124-D124,"")</f>
        <v/>
      </c>
      <c r="I124" s="17" t="str">
        <f>IF(B123&lt;Simulador!$F$47,PMT(Simulador!$F$41+Simulador!$F$43,Simulador!$F$47,-Simulador!$F$37)+G124,"")</f>
        <v/>
      </c>
    </row>
    <row r="125" spans="1:9" ht="17.100000000000001" customHeight="1" x14ac:dyDescent="0.25">
      <c r="A125" s="14"/>
      <c r="B125" s="13" t="str">
        <f>IF(B124&lt;Simulador!$F$47,B124+1,"")</f>
        <v/>
      </c>
      <c r="C125" s="16" t="str">
        <f>IF(B124&lt;Simulador!$F$47,H124,"")</f>
        <v/>
      </c>
      <c r="D125" s="17" t="str">
        <f>IF(Tabla1[[#This Row],[Periodo]]="","",IF(B125&lt;=Simulador!$F$47,PPMT(Simulador!$F$41+Simulador!$F$43,Cronograma!B125,Simulador!$F$47,-Simulador!$F$37),""))</f>
        <v/>
      </c>
      <c r="E125" s="17" t="str">
        <f>IF(B124&lt;Simulador!$F$47,(IPMT(Simulador!$F$41+Simulador!$F$43,Tabla1[[#This Row],[Periodo]],Simulador!$F$47,-Simulador!$F$37)-Tabla1[[#This Row],[Seguro Desgravamen]]),"")</f>
        <v/>
      </c>
      <c r="F125" s="17" t="str">
        <f>IF(B124&lt;Simulador!$F$47,C125*Simulador!$F$43,"")</f>
        <v/>
      </c>
      <c r="G125" s="16" t="str">
        <f>IF(B124&lt;Simulador!$F$47,Simulador!$F$45*Simulador!$F$12/12,"")</f>
        <v/>
      </c>
      <c r="H125" s="17" t="str">
        <f>IF(B124&lt;Simulador!$F$47,C125-D125,"")</f>
        <v/>
      </c>
      <c r="I125" s="17" t="str">
        <f>IF(B124&lt;Simulador!$F$47,PMT(Simulador!$F$41+Simulador!$F$43,Simulador!$F$47,-Simulador!$F$37)+G125,"")</f>
        <v/>
      </c>
    </row>
    <row r="126" spans="1:9" ht="17.100000000000001" customHeight="1" x14ac:dyDescent="0.25">
      <c r="A126" s="14"/>
      <c r="B126" s="13" t="str">
        <f>IF(B125&lt;Simulador!$F$47,B125+1,"")</f>
        <v/>
      </c>
      <c r="C126" s="16" t="str">
        <f>IF(B125&lt;Simulador!$F$47,H125,"")</f>
        <v/>
      </c>
      <c r="D126" s="17" t="str">
        <f>IF(Tabla1[[#This Row],[Periodo]]="","",IF(B126&lt;=Simulador!$F$47,PPMT(Simulador!$F$41+Simulador!$F$43,Cronograma!B126,Simulador!$F$47,-Simulador!$F$37),""))</f>
        <v/>
      </c>
      <c r="E126" s="17" t="str">
        <f>IF(B125&lt;Simulador!$F$47,(IPMT(Simulador!$F$41+Simulador!$F$43,Tabla1[[#This Row],[Periodo]],Simulador!$F$47,-Simulador!$F$37)-Tabla1[[#This Row],[Seguro Desgravamen]]),"")</f>
        <v/>
      </c>
      <c r="F126" s="17" t="str">
        <f>IF(B125&lt;Simulador!$F$47,C126*Simulador!$F$43,"")</f>
        <v/>
      </c>
      <c r="G126" s="16" t="str">
        <f>IF(B125&lt;Simulador!$F$47,Simulador!$F$45*Simulador!$F$12/12,"")</f>
        <v/>
      </c>
      <c r="H126" s="17" t="str">
        <f>IF(B125&lt;Simulador!$F$47,C126-D126,"")</f>
        <v/>
      </c>
      <c r="I126" s="17" t="str">
        <f>IF(B125&lt;Simulador!$F$47,PMT(Simulador!$F$41+Simulador!$F$43,Simulador!$F$47,-Simulador!$F$37)+G126,"")</f>
        <v/>
      </c>
    </row>
    <row r="127" spans="1:9" ht="17.100000000000001" customHeight="1" x14ac:dyDescent="0.25">
      <c r="A127" s="14"/>
      <c r="B127" s="13" t="str">
        <f>IF(B126&lt;Simulador!$F$47,B126+1,"")</f>
        <v/>
      </c>
      <c r="C127" s="16" t="str">
        <f>IF(B126&lt;Simulador!$F$47,H126,"")</f>
        <v/>
      </c>
      <c r="D127" s="17" t="str">
        <f>IF(Tabla1[[#This Row],[Periodo]]="","",IF(B127&lt;=Simulador!$F$47,PPMT(Simulador!$F$41+Simulador!$F$43,Cronograma!B127,Simulador!$F$47,-Simulador!$F$37),""))</f>
        <v/>
      </c>
      <c r="E127" s="17" t="str">
        <f>IF(B126&lt;Simulador!$F$47,(IPMT(Simulador!$F$41+Simulador!$F$43,Tabla1[[#This Row],[Periodo]],Simulador!$F$47,-Simulador!$F$37)-Tabla1[[#This Row],[Seguro Desgravamen]]),"")</f>
        <v/>
      </c>
      <c r="F127" s="17" t="str">
        <f>IF(B126&lt;Simulador!$F$47,C127*Simulador!$F$43,"")</f>
        <v/>
      </c>
      <c r="G127" s="16" t="str">
        <f>IF(B126&lt;Simulador!$F$47,Simulador!$F$45*Simulador!$F$12/12,"")</f>
        <v/>
      </c>
      <c r="H127" s="17" t="str">
        <f>IF(B126&lt;Simulador!$F$47,C127-D127,"")</f>
        <v/>
      </c>
      <c r="I127" s="17" t="str">
        <f>IF(B126&lt;Simulador!$F$47,PMT(Simulador!$F$41+Simulador!$F$43,Simulador!$F$47,-Simulador!$F$37)+G127,"")</f>
        <v/>
      </c>
    </row>
    <row r="128" spans="1:9" ht="17.100000000000001" customHeight="1" x14ac:dyDescent="0.25">
      <c r="A128" s="14"/>
      <c r="B128" s="13" t="str">
        <f>IF(B127&lt;Simulador!$F$47,B127+1,"")</f>
        <v/>
      </c>
      <c r="C128" s="16" t="str">
        <f>IF(B127&lt;Simulador!$F$47,H127,"")</f>
        <v/>
      </c>
      <c r="D128" s="17" t="str">
        <f>IF(Tabla1[[#This Row],[Periodo]]="","",IF(B128&lt;=Simulador!$F$47,PPMT(Simulador!$F$41+Simulador!$F$43,Cronograma!B128,Simulador!$F$47,-Simulador!$F$37),""))</f>
        <v/>
      </c>
      <c r="E128" s="17" t="str">
        <f>IF(B127&lt;Simulador!$F$47,(IPMT(Simulador!$F$41+Simulador!$F$43,Tabla1[[#This Row],[Periodo]],Simulador!$F$47,-Simulador!$F$37)-Tabla1[[#This Row],[Seguro Desgravamen]]),"")</f>
        <v/>
      </c>
      <c r="F128" s="17" t="str">
        <f>IF(B127&lt;Simulador!$F$47,C128*Simulador!$F$43,"")</f>
        <v/>
      </c>
      <c r="G128" s="16" t="str">
        <f>IF(B127&lt;Simulador!$F$47,Simulador!$F$45*Simulador!$F$12/12,"")</f>
        <v/>
      </c>
      <c r="H128" s="17" t="str">
        <f>IF(B127&lt;Simulador!$F$47,C128-D128,"")</f>
        <v/>
      </c>
      <c r="I128" s="17" t="str">
        <f>IF(B127&lt;Simulador!$F$47,PMT(Simulador!$F$41+Simulador!$F$43,Simulador!$F$47,-Simulador!$F$37)+G128,"")</f>
        <v/>
      </c>
    </row>
    <row r="129" spans="1:9" ht="17.100000000000001" customHeight="1" x14ac:dyDescent="0.25">
      <c r="A129" s="14"/>
      <c r="B129" s="13" t="str">
        <f>IF(B128&lt;Simulador!$F$47,B128+1,"")</f>
        <v/>
      </c>
      <c r="C129" s="16" t="str">
        <f>IF(B128&lt;Simulador!$F$47,H128,"")</f>
        <v/>
      </c>
      <c r="D129" s="17" t="str">
        <f>IF(Tabla1[[#This Row],[Periodo]]="","",IF(B129&lt;=Simulador!$F$47,PPMT(Simulador!$F$41+Simulador!$F$43,Cronograma!B129,Simulador!$F$47,-Simulador!$F$37),""))</f>
        <v/>
      </c>
      <c r="E129" s="17" t="str">
        <f>IF(B128&lt;Simulador!$F$47,(IPMT(Simulador!$F$41+Simulador!$F$43,Tabla1[[#This Row],[Periodo]],Simulador!$F$47,-Simulador!$F$37)-Tabla1[[#This Row],[Seguro Desgravamen]]),"")</f>
        <v/>
      </c>
      <c r="F129" s="17" t="str">
        <f>IF(B128&lt;Simulador!$F$47,C129*Simulador!$F$43,"")</f>
        <v/>
      </c>
      <c r="G129" s="16" t="str">
        <f>IF(B128&lt;Simulador!$F$47,Simulador!$F$45*Simulador!$F$12/12,"")</f>
        <v/>
      </c>
      <c r="H129" s="17" t="str">
        <f>IF(B128&lt;Simulador!$F$47,C129-D129,"")</f>
        <v/>
      </c>
      <c r="I129" s="17" t="str">
        <f>IF(B128&lt;Simulador!$F$47,PMT(Simulador!$F$41+Simulador!$F$43,Simulador!$F$47,-Simulador!$F$37)+G129,"")</f>
        <v/>
      </c>
    </row>
    <row r="130" spans="1:9" ht="17.100000000000001" customHeight="1" x14ac:dyDescent="0.25">
      <c r="A130" s="14"/>
      <c r="B130" s="13" t="str">
        <f>IF(B129&lt;Simulador!$F$47,B129+1,"")</f>
        <v/>
      </c>
      <c r="C130" s="16" t="str">
        <f>IF(B129&lt;Simulador!$F$47,H129,"")</f>
        <v/>
      </c>
      <c r="D130" s="17" t="str">
        <f>IF(Tabla1[[#This Row],[Periodo]]="","",IF(B130&lt;=Simulador!$F$47,PPMT(Simulador!$F$41+Simulador!$F$43,Cronograma!B130,Simulador!$F$47,-Simulador!$F$37),""))</f>
        <v/>
      </c>
      <c r="E130" s="17" t="str">
        <f>IF(B129&lt;Simulador!$F$47,(IPMT(Simulador!$F$41+Simulador!$F$43,Tabla1[[#This Row],[Periodo]],Simulador!$F$47,-Simulador!$F$37)-Tabla1[[#This Row],[Seguro Desgravamen]]),"")</f>
        <v/>
      </c>
      <c r="F130" s="17" t="str">
        <f>IF(B129&lt;Simulador!$F$47,C130*Simulador!$F$43,"")</f>
        <v/>
      </c>
      <c r="G130" s="16" t="str">
        <f>IF(B129&lt;Simulador!$F$47,Simulador!$F$45*Simulador!$F$12/12,"")</f>
        <v/>
      </c>
      <c r="H130" s="17" t="str">
        <f>IF(B129&lt;Simulador!$F$47,C130-D130,"")</f>
        <v/>
      </c>
      <c r="I130" s="17" t="str">
        <f>IF(B129&lt;Simulador!$F$47,PMT(Simulador!$F$41+Simulador!$F$43,Simulador!$F$47,-Simulador!$F$37)+G130,"")</f>
        <v/>
      </c>
    </row>
    <row r="131" spans="1:9" ht="17.100000000000001" customHeight="1" x14ac:dyDescent="0.25">
      <c r="A131" s="14"/>
      <c r="B131" s="13" t="str">
        <f>IF(B130&lt;Simulador!$F$47,B130+1,"")</f>
        <v/>
      </c>
      <c r="C131" s="16" t="str">
        <f>IF(B130&lt;Simulador!$F$47,H130,"")</f>
        <v/>
      </c>
      <c r="D131" s="17" t="str">
        <f>IF(Tabla1[[#This Row],[Periodo]]="","",IF(B131&lt;=Simulador!$F$47,PPMT(Simulador!$F$41+Simulador!$F$43,Cronograma!B131,Simulador!$F$47,-Simulador!$F$37),""))</f>
        <v/>
      </c>
      <c r="E131" s="17" t="str">
        <f>IF(B130&lt;Simulador!$F$47,(IPMT(Simulador!$F$41+Simulador!$F$43,Tabla1[[#This Row],[Periodo]],Simulador!$F$47,-Simulador!$F$37)-Tabla1[[#This Row],[Seguro Desgravamen]]),"")</f>
        <v/>
      </c>
      <c r="F131" s="17" t="str">
        <f>IF(B130&lt;Simulador!$F$47,C131*Simulador!$F$43,"")</f>
        <v/>
      </c>
      <c r="G131" s="16" t="str">
        <f>IF(B130&lt;Simulador!$F$47,Simulador!$F$45*Simulador!$F$12/12,"")</f>
        <v/>
      </c>
      <c r="H131" s="17" t="str">
        <f>IF(B130&lt;Simulador!$F$47,C131-D131,"")</f>
        <v/>
      </c>
      <c r="I131" s="17" t="str">
        <f>IF(B130&lt;Simulador!$F$47,PMT(Simulador!$F$41+Simulador!$F$43,Simulador!$F$47,-Simulador!$F$37)+G131,"")</f>
        <v/>
      </c>
    </row>
    <row r="132" spans="1:9" ht="17.100000000000001" customHeight="1" x14ac:dyDescent="0.25">
      <c r="A132" s="14"/>
      <c r="B132" s="1" t="str">
        <f>IF(B131&lt;Simulador!$F$47,B131+1,"")</f>
        <v/>
      </c>
      <c r="C132" s="18" t="str">
        <f>IF(B131&lt;Simulador!$F$47,H131,"")</f>
        <v/>
      </c>
      <c r="D132" s="17" t="str">
        <f>IF(Tabla1[[#This Row],[Periodo]]="","",IF(B132&lt;=Simulador!$F$47,PPMT(Simulador!$F$41+Simulador!$F$43,Cronograma!B132,Simulador!$F$47,-Simulador!$F$37),""))</f>
        <v/>
      </c>
      <c r="E132" s="19" t="str">
        <f>IF(B131&lt;Simulador!$F$47,(IPMT(Simulador!$F$41+Simulador!$F$43,Tabla1[[#This Row],[Periodo]],Simulador!$F$47,-Simulador!$F$37)-Tabla1[[#This Row],[Seguro Desgravamen]]),"")</f>
        <v/>
      </c>
      <c r="F132" s="19" t="str">
        <f>IF(B131&lt;Simulador!$F$47,C132*Simulador!$F$43,"")</f>
        <v/>
      </c>
      <c r="G132" s="18" t="str">
        <f>IF(B131&lt;Simulador!$F$47,Simulador!$F$45*Simulador!$F$12/12,"")</f>
        <v/>
      </c>
      <c r="H132" s="19" t="str">
        <f>IF(B131&lt;Simulador!$F$47,C132-D132,"")</f>
        <v/>
      </c>
      <c r="I132" s="19" t="str">
        <f>IF(B131&lt;Simulador!$F$47,PMT(Simulador!$F$41+Simulador!$F$43,Simulador!$F$47,-Simulador!$F$37)+G132,"")</f>
        <v/>
      </c>
    </row>
    <row r="133" spans="1:9" ht="17.100000000000001" customHeight="1" x14ac:dyDescent="0.25">
      <c r="A133" s="14"/>
      <c r="B133" s="1" t="str">
        <f>IF(B132&lt;Simulador!$F$47,B132+1,"")</f>
        <v/>
      </c>
      <c r="C133" s="18" t="str">
        <f>IF(B132&lt;Simulador!$F$47,H132,"")</f>
        <v/>
      </c>
      <c r="D133" s="17" t="str">
        <f>IF(Tabla1[[#This Row],[Periodo]]="","",IF(B133&lt;=Simulador!$F$47,PPMT(Simulador!$F$41+Simulador!$F$43,Cronograma!B133,Simulador!$F$47,-Simulador!$F$37),""))</f>
        <v/>
      </c>
      <c r="E133" s="19" t="str">
        <f>IF(B132&lt;Simulador!$F$47,(IPMT(Simulador!$F$41+Simulador!$F$43,Tabla1[[#This Row],[Periodo]],Simulador!$F$47,-Simulador!$F$37)-Tabla1[[#This Row],[Seguro Desgravamen]]),"")</f>
        <v/>
      </c>
      <c r="F133" s="19" t="str">
        <f>IF(B132&lt;Simulador!$F$47,C133*Simulador!$F$43,"")</f>
        <v/>
      </c>
      <c r="G133" s="18" t="str">
        <f>IF(B132&lt;Simulador!$F$47,Simulador!$F$45*Simulador!$F$12/12,"")</f>
        <v/>
      </c>
      <c r="H133" s="19" t="str">
        <f>IF(B132&lt;Simulador!$F$47,C133-D133,"")</f>
        <v/>
      </c>
      <c r="I133" s="19" t="str">
        <f>IF(B132&lt;Simulador!$F$47,PMT(Simulador!$F$41+Simulador!$F$43,Simulador!$F$47,-Simulador!$F$37)+G133,"")</f>
        <v/>
      </c>
    </row>
    <row r="134" spans="1:9" ht="17.100000000000001" customHeight="1" x14ac:dyDescent="0.25">
      <c r="A134" s="14"/>
      <c r="B134" s="1" t="str">
        <f>IF(B133&lt;Simulador!$F$47,B133+1,"")</f>
        <v/>
      </c>
      <c r="C134" s="18" t="str">
        <f>IF(B133&lt;Simulador!$F$47,H133,"")</f>
        <v/>
      </c>
      <c r="D134" s="17" t="str">
        <f>IF(Tabla1[[#This Row],[Periodo]]="","",IF(B134&lt;=Simulador!$F$47,PPMT(Simulador!$F$41+Simulador!$F$43,Cronograma!B134,Simulador!$F$47,-Simulador!$F$37),""))</f>
        <v/>
      </c>
      <c r="E134" s="19" t="str">
        <f>IF(B133&lt;Simulador!$F$47,(IPMT(Simulador!$F$41+Simulador!$F$43,Tabla1[[#This Row],[Periodo]],Simulador!$F$47,-Simulador!$F$37)-Tabla1[[#This Row],[Seguro Desgravamen]]),"")</f>
        <v/>
      </c>
      <c r="F134" s="19" t="str">
        <f>IF(B133&lt;Simulador!$F$47,C134*Simulador!$F$43,"")</f>
        <v/>
      </c>
      <c r="G134" s="18" t="str">
        <f>IF(B133&lt;Simulador!$F$47,Simulador!$F$45*Simulador!$F$12/12,"")</f>
        <v/>
      </c>
      <c r="H134" s="19" t="str">
        <f>IF(B133&lt;Simulador!$F$47,C134-D134,"")</f>
        <v/>
      </c>
      <c r="I134" s="19" t="str">
        <f>IF(B133&lt;Simulador!$F$47,PMT(Simulador!$F$41+Simulador!$F$43,Simulador!$F$47,-Simulador!$F$37)+G134,"")</f>
        <v/>
      </c>
    </row>
    <row r="135" spans="1:9" ht="17.100000000000001" customHeight="1" x14ac:dyDescent="0.25">
      <c r="A135" s="14"/>
      <c r="B135" s="1" t="str">
        <f>IF(B134&lt;Simulador!$F$47,B134+1,"")</f>
        <v/>
      </c>
      <c r="C135" s="18" t="str">
        <f>IF(B134&lt;Simulador!$F$47,H134,"")</f>
        <v/>
      </c>
      <c r="D135" s="17" t="str">
        <f>IF(Tabla1[[#This Row],[Periodo]]="","",IF(B135&lt;=Simulador!$F$47,PPMT(Simulador!$F$41+Simulador!$F$43,Cronograma!B135,Simulador!$F$47,-Simulador!$F$37),""))</f>
        <v/>
      </c>
      <c r="E135" s="19" t="str">
        <f>IF(B134&lt;Simulador!$F$47,(IPMT(Simulador!$F$41+Simulador!$F$43,Tabla1[[#This Row],[Periodo]],Simulador!$F$47,-Simulador!$F$37)-Tabla1[[#This Row],[Seguro Desgravamen]]),"")</f>
        <v/>
      </c>
      <c r="F135" s="19" t="str">
        <f>IF(B134&lt;Simulador!$F$47,C135*Simulador!$F$43,"")</f>
        <v/>
      </c>
      <c r="G135" s="18" t="str">
        <f>IF(B134&lt;Simulador!$F$47,Simulador!$F$45*Simulador!$F$12/12,"")</f>
        <v/>
      </c>
      <c r="H135" s="19" t="str">
        <f>IF(B134&lt;Simulador!$F$47,C135-D135,"")</f>
        <v/>
      </c>
      <c r="I135" s="19" t="str">
        <f>IF(B134&lt;Simulador!$F$47,PMT(Simulador!$F$41+Simulador!$F$43,Simulador!$F$47,-Simulador!$F$37)+G135,"")</f>
        <v/>
      </c>
    </row>
    <row r="136" spans="1:9" ht="17.100000000000001" customHeight="1" x14ac:dyDescent="0.25">
      <c r="A136" s="14"/>
      <c r="B136" s="1" t="str">
        <f>IF(B135&lt;Simulador!$F$47,B135+1,"")</f>
        <v/>
      </c>
      <c r="C136" s="18" t="str">
        <f>IF(B135&lt;Simulador!$F$47,H135,"")</f>
        <v/>
      </c>
      <c r="D136" s="17" t="str">
        <f>IF(Tabla1[[#This Row],[Periodo]]="","",IF(B136&lt;=Simulador!$F$47,PPMT(Simulador!$F$41+Simulador!$F$43,Cronograma!B136,Simulador!$F$47,-Simulador!$F$37),""))</f>
        <v/>
      </c>
      <c r="E136" s="19" t="str">
        <f>IF(B135&lt;Simulador!$F$47,(IPMT(Simulador!$F$41+Simulador!$F$43,Tabla1[[#This Row],[Periodo]],Simulador!$F$47,-Simulador!$F$37)-Tabla1[[#This Row],[Seguro Desgravamen]]),"")</f>
        <v/>
      </c>
      <c r="F136" s="19" t="str">
        <f>IF(B135&lt;Simulador!$F$47,C136*Simulador!$F$43,"")</f>
        <v/>
      </c>
      <c r="G136" s="18" t="str">
        <f>IF(B135&lt;Simulador!$F$47,Simulador!$F$45*Simulador!$F$12/12,"")</f>
        <v/>
      </c>
      <c r="H136" s="19" t="str">
        <f>IF(B135&lt;Simulador!$F$47,C136-D136,"")</f>
        <v/>
      </c>
      <c r="I136" s="19" t="str">
        <f>IF(B135&lt;Simulador!$F$47,PMT(Simulador!$F$41+Simulador!$F$43,Simulador!$F$47,-Simulador!$F$37)+G136,"")</f>
        <v/>
      </c>
    </row>
    <row r="137" spans="1:9" ht="17.100000000000001" customHeight="1" x14ac:dyDescent="0.25">
      <c r="A137" s="14"/>
      <c r="B137" s="1" t="str">
        <f>IF(B136&lt;Simulador!$F$47,B136+1,"")</f>
        <v/>
      </c>
      <c r="C137" s="18" t="str">
        <f>IF(B136&lt;Simulador!$F$47,H136,"")</f>
        <v/>
      </c>
      <c r="D137" s="17" t="str">
        <f>IF(Tabla1[[#This Row],[Periodo]]="","",IF(B137&lt;=Simulador!$F$47,PPMT(Simulador!$F$41+Simulador!$F$43,Cronograma!B137,Simulador!$F$47,-Simulador!$F$37),""))</f>
        <v/>
      </c>
      <c r="E137" s="19" t="str">
        <f>IF(B136&lt;Simulador!$F$47,(IPMT(Simulador!$F$41+Simulador!$F$43,Tabla1[[#This Row],[Periodo]],Simulador!$F$47,-Simulador!$F$37)-Tabla1[[#This Row],[Seguro Desgravamen]]),"")</f>
        <v/>
      </c>
      <c r="F137" s="19" t="str">
        <f>IF(B136&lt;Simulador!$F$47,C137*Simulador!$F$43,"")</f>
        <v/>
      </c>
      <c r="G137" s="18" t="str">
        <f>IF(B136&lt;Simulador!$F$47,Simulador!$F$45*Simulador!$F$12/12,"")</f>
        <v/>
      </c>
      <c r="H137" s="19" t="str">
        <f>IF(B136&lt;Simulador!$F$47,C137-D137,"")</f>
        <v/>
      </c>
      <c r="I137" s="19" t="str">
        <f>IF(B136&lt;Simulador!$F$47,PMT(Simulador!$F$41+Simulador!$F$43,Simulador!$F$47,-Simulador!$F$37)+G137,"")</f>
        <v/>
      </c>
    </row>
    <row r="138" spans="1:9" ht="17.100000000000001" customHeight="1" x14ac:dyDescent="0.25">
      <c r="A138" s="14"/>
      <c r="B138" s="1" t="str">
        <f>IF(B137&lt;Simulador!$F$47,B137+1,"")</f>
        <v/>
      </c>
      <c r="C138" s="18" t="str">
        <f>IF(B137&lt;Simulador!$F$47,H137,"")</f>
        <v/>
      </c>
      <c r="D138" s="17" t="str">
        <f>IF(Tabla1[[#This Row],[Periodo]]="","",IF(B138&lt;=Simulador!$F$47,PPMT(Simulador!$F$41+Simulador!$F$43,Cronograma!B138,Simulador!$F$47,-Simulador!$F$37),""))</f>
        <v/>
      </c>
      <c r="E138" s="19" t="str">
        <f>IF(B137&lt;Simulador!$F$47,(IPMT(Simulador!$F$41+Simulador!$F$43,Tabla1[[#This Row],[Periodo]],Simulador!$F$47,-Simulador!$F$37)-Tabla1[[#This Row],[Seguro Desgravamen]]),"")</f>
        <v/>
      </c>
      <c r="F138" s="19" t="str">
        <f>IF(B137&lt;Simulador!$F$47,C138*Simulador!$F$43,"")</f>
        <v/>
      </c>
      <c r="G138" s="18" t="str">
        <f>IF(B137&lt;Simulador!$F$47,Simulador!$F$45*Simulador!$F$12/12,"")</f>
        <v/>
      </c>
      <c r="H138" s="19" t="str">
        <f>IF(B137&lt;Simulador!$F$47,C138-D138,"")</f>
        <v/>
      </c>
      <c r="I138" s="19" t="str">
        <f>IF(B137&lt;Simulador!$F$47,PMT(Simulador!$F$41+Simulador!$F$43,Simulador!$F$47,-Simulador!$F$37)+G138,"")</f>
        <v/>
      </c>
    </row>
    <row r="139" spans="1:9" ht="17.100000000000001" customHeight="1" x14ac:dyDescent="0.25">
      <c r="A139" s="14"/>
      <c r="B139" s="1" t="str">
        <f>IF(B138&lt;Simulador!$F$47,B138+1,"")</f>
        <v/>
      </c>
      <c r="C139" s="18" t="str">
        <f>IF(B138&lt;Simulador!$F$47,H138,"")</f>
        <v/>
      </c>
      <c r="D139" s="17" t="str">
        <f>IF(Tabla1[[#This Row],[Periodo]]="","",IF(B139&lt;=Simulador!$F$47,PPMT(Simulador!$F$41+Simulador!$F$43,Cronograma!B139,Simulador!$F$47,-Simulador!$F$37),""))</f>
        <v/>
      </c>
      <c r="E139" s="19" t="str">
        <f>IF(B138&lt;Simulador!$F$47,(IPMT(Simulador!$F$41+Simulador!$F$43,Tabla1[[#This Row],[Periodo]],Simulador!$F$47,-Simulador!$F$37)-Tabla1[[#This Row],[Seguro Desgravamen]]),"")</f>
        <v/>
      </c>
      <c r="F139" s="19" t="str">
        <f>IF(B138&lt;Simulador!$F$47,C139*Simulador!$F$43,"")</f>
        <v/>
      </c>
      <c r="G139" s="18" t="str">
        <f>IF(B138&lt;Simulador!$F$47,Simulador!$F$45*Simulador!$F$12/12,"")</f>
        <v/>
      </c>
      <c r="H139" s="19" t="str">
        <f>IF(B138&lt;Simulador!$F$47,C139-D139,"")</f>
        <v/>
      </c>
      <c r="I139" s="19" t="str">
        <f>IF(B138&lt;Simulador!$F$47,PMT(Simulador!$F$41+Simulador!$F$43,Simulador!$F$47,-Simulador!$F$37)+G139,"")</f>
        <v/>
      </c>
    </row>
    <row r="140" spans="1:9" ht="17.100000000000001" customHeight="1" x14ac:dyDescent="0.25">
      <c r="A140" s="14"/>
      <c r="B140" s="1" t="str">
        <f>IF(B139&lt;Simulador!$F$47,B139+1,"")</f>
        <v/>
      </c>
      <c r="C140" s="18" t="str">
        <f>IF(B139&lt;Simulador!$F$47,H139,"")</f>
        <v/>
      </c>
      <c r="D140" s="17" t="str">
        <f>IF(Tabla1[[#This Row],[Periodo]]="","",IF(B140&lt;=Simulador!$F$47,PPMT(Simulador!$F$41+Simulador!$F$43,Cronograma!B140,Simulador!$F$47,-Simulador!$F$37),""))</f>
        <v/>
      </c>
      <c r="E140" s="19" t="str">
        <f>IF(B139&lt;Simulador!$F$47,(IPMT(Simulador!$F$41+Simulador!$F$43,Tabla1[[#This Row],[Periodo]],Simulador!$F$47,-Simulador!$F$37)-Tabla1[[#This Row],[Seguro Desgravamen]]),"")</f>
        <v/>
      </c>
      <c r="F140" s="19" t="str">
        <f>IF(B139&lt;Simulador!$F$47,C140*Simulador!$F$43,"")</f>
        <v/>
      </c>
      <c r="G140" s="18" t="str">
        <f>IF(B139&lt;Simulador!$F$47,Simulador!$F$45*Simulador!$F$12/12,"")</f>
        <v/>
      </c>
      <c r="H140" s="19" t="str">
        <f>IF(B139&lt;Simulador!$F$47,C140-D140,"")</f>
        <v/>
      </c>
      <c r="I140" s="19" t="str">
        <f>IF(B139&lt;Simulador!$F$47,PMT(Simulador!$F$41+Simulador!$F$43,Simulador!$F$47,-Simulador!$F$37)+G140,"")</f>
        <v/>
      </c>
    </row>
    <row r="141" spans="1:9" ht="17.100000000000001" customHeight="1" x14ac:dyDescent="0.25">
      <c r="A141" s="14"/>
      <c r="B141" s="1" t="str">
        <f>IF(B140&lt;Simulador!$F$47,B140+1,"")</f>
        <v/>
      </c>
      <c r="C141" s="18" t="str">
        <f>IF(B140&lt;Simulador!$F$47,H140,"")</f>
        <v/>
      </c>
      <c r="D141" s="17" t="str">
        <f>IF(Tabla1[[#This Row],[Periodo]]="","",IF(B141&lt;=Simulador!$F$47,PPMT(Simulador!$F$41+Simulador!$F$43,Cronograma!B141,Simulador!$F$47,-Simulador!$F$37),""))</f>
        <v/>
      </c>
      <c r="E141" s="19" t="str">
        <f>IF(B140&lt;Simulador!$F$47,(IPMT(Simulador!$F$41+Simulador!$F$43,Tabla1[[#This Row],[Periodo]],Simulador!$F$47,-Simulador!$F$37)-Tabla1[[#This Row],[Seguro Desgravamen]]),"")</f>
        <v/>
      </c>
      <c r="F141" s="19" t="str">
        <f>IF(B140&lt;Simulador!$F$47,C141*Simulador!$F$43,"")</f>
        <v/>
      </c>
      <c r="G141" s="18" t="str">
        <f>IF(B140&lt;Simulador!$F$47,Simulador!$F$45*Simulador!$F$12/12,"")</f>
        <v/>
      </c>
      <c r="H141" s="19" t="str">
        <f>IF(B140&lt;Simulador!$F$47,C141-D141,"")</f>
        <v/>
      </c>
      <c r="I141" s="19" t="str">
        <f>IF(B140&lt;Simulador!$F$47,PMT(Simulador!$F$41+Simulador!$F$43,Simulador!$F$47,-Simulador!$F$37)+G141,"")</f>
        <v/>
      </c>
    </row>
    <row r="142" spans="1:9" ht="17.100000000000001" customHeight="1" x14ac:dyDescent="0.25">
      <c r="A142" s="14"/>
      <c r="B142" s="1" t="str">
        <f>IF(B141&lt;Simulador!$F$47,B141+1,"")</f>
        <v/>
      </c>
      <c r="C142" s="18" t="str">
        <f>IF(B141&lt;Simulador!$F$47,H141,"")</f>
        <v/>
      </c>
      <c r="D142" s="17" t="str">
        <f>IF(Tabla1[[#This Row],[Periodo]]="","",IF(B142&lt;=Simulador!$F$47,PPMT(Simulador!$F$41+Simulador!$F$43,Cronograma!B142,Simulador!$F$47,-Simulador!$F$37),""))</f>
        <v/>
      </c>
      <c r="E142" s="19" t="str">
        <f>IF(B141&lt;Simulador!$F$47,(IPMT(Simulador!$F$41+Simulador!$F$43,Tabla1[[#This Row],[Periodo]],Simulador!$F$47,-Simulador!$F$37)-Tabla1[[#This Row],[Seguro Desgravamen]]),"")</f>
        <v/>
      </c>
      <c r="F142" s="19" t="str">
        <f>IF(B141&lt;Simulador!$F$47,C142*Simulador!$F$43,"")</f>
        <v/>
      </c>
      <c r="G142" s="18" t="str">
        <f>IF(B141&lt;Simulador!$F$47,Simulador!$F$45*Simulador!$F$12/12,"")</f>
        <v/>
      </c>
      <c r="H142" s="19" t="str">
        <f>IF(B141&lt;Simulador!$F$47,C142-D142,"")</f>
        <v/>
      </c>
      <c r="I142" s="19" t="str">
        <f>IF(B141&lt;Simulador!$F$47,PMT(Simulador!$F$41+Simulador!$F$43,Simulador!$F$47,-Simulador!$F$37)+G142,"")</f>
        <v/>
      </c>
    </row>
    <row r="143" spans="1:9" ht="17.100000000000001" customHeight="1" x14ac:dyDescent="0.25">
      <c r="A143" s="14"/>
      <c r="B143" s="1" t="str">
        <f>IF(B142&lt;Simulador!$F$47,B142+1,"")</f>
        <v/>
      </c>
      <c r="C143" s="18" t="str">
        <f>IF(B142&lt;Simulador!$F$47,H142,"")</f>
        <v/>
      </c>
      <c r="D143" s="17" t="str">
        <f>IF(Tabla1[[#This Row],[Periodo]]="","",IF(B143&lt;=Simulador!$F$47,PPMT(Simulador!$F$41+Simulador!$F$43,Cronograma!B143,Simulador!$F$47,-Simulador!$F$37),""))</f>
        <v/>
      </c>
      <c r="E143" s="19" t="str">
        <f>IF(B142&lt;Simulador!$F$47,(IPMT(Simulador!$F$41+Simulador!$F$43,Tabla1[[#This Row],[Periodo]],Simulador!$F$47,-Simulador!$F$37)-Tabla1[[#This Row],[Seguro Desgravamen]]),"")</f>
        <v/>
      </c>
      <c r="F143" s="19" t="str">
        <f>IF(B142&lt;Simulador!$F$47,C143*Simulador!$F$43,"")</f>
        <v/>
      </c>
      <c r="G143" s="18" t="str">
        <f>IF(B142&lt;Simulador!$F$47,Simulador!$F$45*Simulador!$F$12/12,"")</f>
        <v/>
      </c>
      <c r="H143" s="19" t="str">
        <f>IF(B142&lt;Simulador!$F$47,C143-D143,"")</f>
        <v/>
      </c>
      <c r="I143" s="19" t="str">
        <f>IF(B142&lt;Simulador!$F$47,PMT(Simulador!$F$41+Simulador!$F$43,Simulador!$F$47,-Simulador!$F$37)+G143,"")</f>
        <v/>
      </c>
    </row>
    <row r="144" spans="1:9" ht="17.100000000000001" customHeight="1" x14ac:dyDescent="0.25">
      <c r="A144" s="14"/>
      <c r="B144" s="1" t="str">
        <f>IF(B143&lt;Simulador!$F$47,B143+1,"")</f>
        <v/>
      </c>
      <c r="C144" s="18" t="str">
        <f>IF(B143&lt;Simulador!$F$47,H143,"")</f>
        <v/>
      </c>
      <c r="D144" s="17" t="str">
        <f>IF(Tabla1[[#This Row],[Periodo]]="","",IF(B144&lt;=Simulador!$F$47,PPMT(Simulador!$F$41+Simulador!$F$43,Cronograma!B144,Simulador!$F$47,-Simulador!$F$37),""))</f>
        <v/>
      </c>
      <c r="E144" s="19" t="str">
        <f>IF(B143&lt;Simulador!$F$47,(IPMT(Simulador!$F$41+Simulador!$F$43,Tabla1[[#This Row],[Periodo]],Simulador!$F$47,-Simulador!$F$37)-Tabla1[[#This Row],[Seguro Desgravamen]]),"")</f>
        <v/>
      </c>
      <c r="F144" s="19" t="str">
        <f>IF(B143&lt;Simulador!$F$47,C144*Simulador!$F$43,"")</f>
        <v/>
      </c>
      <c r="G144" s="18" t="str">
        <f>IF(B143&lt;Simulador!$F$47,Simulador!$F$45*Simulador!$F$12/12,"")</f>
        <v/>
      </c>
      <c r="H144" s="19" t="str">
        <f>IF(B143&lt;Simulador!$F$47,C144-D144,"")</f>
        <v/>
      </c>
      <c r="I144" s="19" t="str">
        <f>IF(B143&lt;Simulador!$F$47,PMT(Simulador!$F$41+Simulador!$F$43,Simulador!$F$47,-Simulador!$F$37)+G144,"")</f>
        <v/>
      </c>
    </row>
    <row r="145" spans="1:9" ht="17.100000000000001" customHeight="1" x14ac:dyDescent="0.25">
      <c r="A145" s="14"/>
      <c r="B145" s="1" t="str">
        <f>IF(B144&lt;Simulador!$F$47,B144+1,"")</f>
        <v/>
      </c>
      <c r="C145" s="18" t="str">
        <f>IF(B144&lt;Simulador!$F$47,H144,"")</f>
        <v/>
      </c>
      <c r="D145" s="17" t="str">
        <f>IF(Tabla1[[#This Row],[Periodo]]="","",IF(B145&lt;=Simulador!$F$47,PPMT(Simulador!$F$41+Simulador!$F$43,Cronograma!B145,Simulador!$F$47,-Simulador!$F$37),""))</f>
        <v/>
      </c>
      <c r="E145" s="19" t="str">
        <f>IF(B144&lt;Simulador!$F$47,(IPMT(Simulador!$F$41+Simulador!$F$43,Tabla1[[#This Row],[Periodo]],Simulador!$F$47,-Simulador!$F$37)-Tabla1[[#This Row],[Seguro Desgravamen]]),"")</f>
        <v/>
      </c>
      <c r="F145" s="19" t="str">
        <f>IF(B144&lt;Simulador!$F$47,C145*Simulador!$F$43,"")</f>
        <v/>
      </c>
      <c r="G145" s="18" t="str">
        <f>IF(B144&lt;Simulador!$F$47,Simulador!$F$45*Simulador!$F$12/12,"")</f>
        <v/>
      </c>
      <c r="H145" s="19" t="str">
        <f>IF(B144&lt;Simulador!$F$47,C145-D145,"")</f>
        <v/>
      </c>
      <c r="I145" s="19" t="str">
        <f>IF(B144&lt;Simulador!$F$47,PMT(Simulador!$F$41+Simulador!$F$43,Simulador!$F$47,-Simulador!$F$37)+G145,"")</f>
        <v/>
      </c>
    </row>
    <row r="146" spans="1:9" ht="17.100000000000001" customHeight="1" x14ac:dyDescent="0.25">
      <c r="A146" s="14"/>
      <c r="B146" s="1" t="str">
        <f>IF(B145&lt;Simulador!$F$47,B145+1,"")</f>
        <v/>
      </c>
      <c r="C146" s="18" t="str">
        <f>IF(B145&lt;Simulador!$F$47,H145,"")</f>
        <v/>
      </c>
      <c r="D146" s="17" t="str">
        <f>IF(Tabla1[[#This Row],[Periodo]]="","",IF(B146&lt;=Simulador!$F$47,PPMT(Simulador!$F$41+Simulador!$F$43,Cronograma!B146,Simulador!$F$47,-Simulador!$F$37),""))</f>
        <v/>
      </c>
      <c r="E146" s="19" t="str">
        <f>IF(B145&lt;Simulador!$F$47,(IPMT(Simulador!$F$41+Simulador!$F$43,Tabla1[[#This Row],[Periodo]],Simulador!$F$47,-Simulador!$F$37)-Tabla1[[#This Row],[Seguro Desgravamen]]),"")</f>
        <v/>
      </c>
      <c r="F146" s="19" t="str">
        <f>IF(B145&lt;Simulador!$F$47,C146*Simulador!$F$43,"")</f>
        <v/>
      </c>
      <c r="G146" s="18" t="str">
        <f>IF(B145&lt;Simulador!$F$47,Simulador!$F$45*Simulador!$F$12/12,"")</f>
        <v/>
      </c>
      <c r="H146" s="19" t="str">
        <f>IF(B145&lt;Simulador!$F$47,C146-D146,"")</f>
        <v/>
      </c>
      <c r="I146" s="19" t="str">
        <f>IF(B145&lt;Simulador!$F$47,PMT(Simulador!$F$41+Simulador!$F$43,Simulador!$F$47,-Simulador!$F$37)+G146,"")</f>
        <v/>
      </c>
    </row>
    <row r="147" spans="1:9" ht="17.100000000000001" customHeight="1" x14ac:dyDescent="0.25">
      <c r="A147" s="14"/>
      <c r="B147" s="1" t="str">
        <f>IF(B146&lt;Simulador!$F$47,B146+1,"")</f>
        <v/>
      </c>
      <c r="C147" s="18" t="str">
        <f>IF(B146&lt;Simulador!$F$47,H146,"")</f>
        <v/>
      </c>
      <c r="D147" s="17" t="str">
        <f>IF(Tabla1[[#This Row],[Periodo]]="","",IF(B147&lt;=Simulador!$F$47,PPMT(Simulador!$F$41+Simulador!$F$43,Cronograma!B147,Simulador!$F$47,-Simulador!$F$37),""))</f>
        <v/>
      </c>
      <c r="E147" s="19" t="str">
        <f>IF(B146&lt;Simulador!$F$47,(IPMT(Simulador!$F$41+Simulador!$F$43,Tabla1[[#This Row],[Periodo]],Simulador!$F$47,-Simulador!$F$37)-Tabla1[[#This Row],[Seguro Desgravamen]]),"")</f>
        <v/>
      </c>
      <c r="F147" s="19" t="str">
        <f>IF(B146&lt;Simulador!$F$47,C147*Simulador!$F$43,"")</f>
        <v/>
      </c>
      <c r="G147" s="18" t="str">
        <f>IF(B146&lt;Simulador!$F$47,Simulador!$F$45*Simulador!$F$12/12,"")</f>
        <v/>
      </c>
      <c r="H147" s="19" t="str">
        <f>IF(B146&lt;Simulador!$F$47,C147-D147,"")</f>
        <v/>
      </c>
      <c r="I147" s="19" t="str">
        <f>IF(B146&lt;Simulador!$F$47,PMT(Simulador!$F$41+Simulador!$F$43,Simulador!$F$47,-Simulador!$F$37)+G147,"")</f>
        <v/>
      </c>
    </row>
    <row r="148" spans="1:9" ht="17.100000000000001" customHeight="1" x14ac:dyDescent="0.25">
      <c r="A148" s="14"/>
      <c r="B148" s="1" t="str">
        <f>IF(B147&lt;Simulador!$F$47,B147+1,"")</f>
        <v/>
      </c>
      <c r="C148" s="18" t="str">
        <f>IF(B147&lt;Simulador!$F$47,H147,"")</f>
        <v/>
      </c>
      <c r="D148" s="17" t="str">
        <f>IF(Tabla1[[#This Row],[Periodo]]="","",IF(B148&lt;=Simulador!$F$47,PPMT(Simulador!$F$41+Simulador!$F$43,Cronograma!B148,Simulador!$F$47,-Simulador!$F$37),""))</f>
        <v/>
      </c>
      <c r="E148" s="19" t="str">
        <f>IF(B147&lt;Simulador!$F$47,(IPMT(Simulador!$F$41+Simulador!$F$43,Tabla1[[#This Row],[Periodo]],Simulador!$F$47,-Simulador!$F$37)-Tabla1[[#This Row],[Seguro Desgravamen]]),"")</f>
        <v/>
      </c>
      <c r="F148" s="19" t="str">
        <f>IF(B147&lt;Simulador!$F$47,C148*Simulador!$F$43,"")</f>
        <v/>
      </c>
      <c r="G148" s="18" t="str">
        <f>IF(B147&lt;Simulador!$F$47,Simulador!$F$45*Simulador!$F$12/12,"")</f>
        <v/>
      </c>
      <c r="H148" s="19" t="str">
        <f>IF(B147&lt;Simulador!$F$47,C148-D148,"")</f>
        <v/>
      </c>
      <c r="I148" s="19" t="str">
        <f>IF(B147&lt;Simulador!$F$47,PMT(Simulador!$F$41+Simulador!$F$43,Simulador!$F$47,-Simulador!$F$37)+G148,"")</f>
        <v/>
      </c>
    </row>
    <row r="149" spans="1:9" ht="17.100000000000001" customHeight="1" x14ac:dyDescent="0.25">
      <c r="A149" s="14"/>
      <c r="B149" s="1" t="str">
        <f>IF(B148&lt;Simulador!$F$47,B148+1,"")</f>
        <v/>
      </c>
      <c r="C149" s="18" t="str">
        <f>IF(B148&lt;Simulador!$F$47,H148,"")</f>
        <v/>
      </c>
      <c r="D149" s="17" t="str">
        <f>IF(Tabla1[[#This Row],[Periodo]]="","",IF(B149&lt;=Simulador!$F$47,PPMT(Simulador!$F$41+Simulador!$F$43,Cronograma!B149,Simulador!$F$47,-Simulador!$F$37),""))</f>
        <v/>
      </c>
      <c r="E149" s="19" t="str">
        <f>IF(B148&lt;Simulador!$F$47,(IPMT(Simulador!$F$41+Simulador!$F$43,Tabla1[[#This Row],[Periodo]],Simulador!$F$47,-Simulador!$F$37)-Tabla1[[#This Row],[Seguro Desgravamen]]),"")</f>
        <v/>
      </c>
      <c r="F149" s="19" t="str">
        <f>IF(B148&lt;Simulador!$F$47,C149*Simulador!$F$43,"")</f>
        <v/>
      </c>
      <c r="G149" s="18" t="str">
        <f>IF(B148&lt;Simulador!$F$47,Simulador!$F$45*Simulador!$F$12/12,"")</f>
        <v/>
      </c>
      <c r="H149" s="19" t="str">
        <f>IF(B148&lt;Simulador!$F$47,C149-D149,"")</f>
        <v/>
      </c>
      <c r="I149" s="19" t="str">
        <f>IF(B148&lt;Simulador!$F$47,PMT(Simulador!$F$41+Simulador!$F$43,Simulador!$F$47,-Simulador!$F$37)+G149,"")</f>
        <v/>
      </c>
    </row>
    <row r="150" spans="1:9" ht="17.100000000000001" customHeight="1" x14ac:dyDescent="0.25">
      <c r="A150" s="14"/>
      <c r="B150" s="1" t="str">
        <f>IF(B149&lt;Simulador!$F$47,B149+1,"")</f>
        <v/>
      </c>
      <c r="C150" s="18" t="str">
        <f>IF(B149&lt;Simulador!$F$47,H149,"")</f>
        <v/>
      </c>
      <c r="D150" s="17" t="str">
        <f>IF(Tabla1[[#This Row],[Periodo]]="","",IF(B150&lt;=Simulador!$F$47,PPMT(Simulador!$F$41+Simulador!$F$43,Cronograma!B150,Simulador!$F$47,-Simulador!$F$37),""))</f>
        <v/>
      </c>
      <c r="E150" s="19" t="str">
        <f>IF(B149&lt;Simulador!$F$47,(IPMT(Simulador!$F$41+Simulador!$F$43,Tabla1[[#This Row],[Periodo]],Simulador!$F$47,-Simulador!$F$37)-Tabla1[[#This Row],[Seguro Desgravamen]]),"")</f>
        <v/>
      </c>
      <c r="F150" s="19" t="str">
        <f>IF(B149&lt;Simulador!$F$47,C150*Simulador!$F$43,"")</f>
        <v/>
      </c>
      <c r="G150" s="18" t="str">
        <f>IF(B149&lt;Simulador!$F$47,Simulador!$F$45*Simulador!$F$12/12,"")</f>
        <v/>
      </c>
      <c r="H150" s="19" t="str">
        <f>IF(B149&lt;Simulador!$F$47,C150-D150,"")</f>
        <v/>
      </c>
      <c r="I150" s="19" t="str">
        <f>IF(B149&lt;Simulador!$F$47,PMT(Simulador!$F$41+Simulador!$F$43,Simulador!$F$47,-Simulador!$F$37)+G150,"")</f>
        <v/>
      </c>
    </row>
    <row r="151" spans="1:9" ht="17.100000000000001" customHeight="1" x14ac:dyDescent="0.25">
      <c r="A151" s="14"/>
      <c r="B151" s="1" t="str">
        <f>IF(B150&lt;Simulador!$F$47,B150+1,"")</f>
        <v/>
      </c>
      <c r="C151" s="18" t="str">
        <f>IF(B150&lt;Simulador!$F$47,H150,"")</f>
        <v/>
      </c>
      <c r="D151" s="17" t="str">
        <f>IF(Tabla1[[#This Row],[Periodo]]="","",IF(B151&lt;=Simulador!$F$47,PPMT(Simulador!$F$41+Simulador!$F$43,Cronograma!B151,Simulador!$F$47,-Simulador!$F$37),""))</f>
        <v/>
      </c>
      <c r="E151" s="19" t="str">
        <f>IF(B150&lt;Simulador!$F$47,(IPMT(Simulador!$F$41+Simulador!$F$43,Tabla1[[#This Row],[Periodo]],Simulador!$F$47,-Simulador!$F$37)-Tabla1[[#This Row],[Seguro Desgravamen]]),"")</f>
        <v/>
      </c>
      <c r="F151" s="19" t="str">
        <f>IF(B150&lt;Simulador!$F$47,C151*Simulador!$F$43,"")</f>
        <v/>
      </c>
      <c r="G151" s="18" t="str">
        <f>IF(B150&lt;Simulador!$F$47,Simulador!$F$45*Simulador!$F$12/12,"")</f>
        <v/>
      </c>
      <c r="H151" s="19" t="str">
        <f>IF(B150&lt;Simulador!$F$47,C151-D151,"")</f>
        <v/>
      </c>
      <c r="I151" s="19" t="str">
        <f>IF(B150&lt;Simulador!$F$47,PMT(Simulador!$F$41+Simulador!$F$43,Simulador!$F$47,-Simulador!$F$37)+G151,"")</f>
        <v/>
      </c>
    </row>
    <row r="152" spans="1:9" ht="17.100000000000001" customHeight="1" x14ac:dyDescent="0.25">
      <c r="A152" s="14"/>
      <c r="B152" s="1" t="str">
        <f>IF(B151&lt;Simulador!$F$47,B151+1,"")</f>
        <v/>
      </c>
      <c r="C152" s="18" t="str">
        <f>IF(B151&lt;Simulador!$F$47,H151,"")</f>
        <v/>
      </c>
      <c r="D152" s="17" t="str">
        <f>IF(Tabla1[[#This Row],[Periodo]]="","",IF(B152&lt;=Simulador!$F$47,PPMT(Simulador!$F$41+Simulador!$F$43,Cronograma!B152,Simulador!$F$47,-Simulador!$F$37),""))</f>
        <v/>
      </c>
      <c r="E152" s="19" t="str">
        <f>IF(B151&lt;Simulador!$F$47,(IPMT(Simulador!$F$41+Simulador!$F$43,Tabla1[[#This Row],[Periodo]],Simulador!$F$47,-Simulador!$F$37)-Tabla1[[#This Row],[Seguro Desgravamen]]),"")</f>
        <v/>
      </c>
      <c r="F152" s="19" t="str">
        <f>IF(B151&lt;Simulador!$F$47,C152*Simulador!$F$43,"")</f>
        <v/>
      </c>
      <c r="G152" s="18" t="str">
        <f>IF(B151&lt;Simulador!$F$47,Simulador!$F$45*Simulador!$F$12/12,"")</f>
        <v/>
      </c>
      <c r="H152" s="19" t="str">
        <f>IF(B151&lt;Simulador!$F$47,C152-D152,"")</f>
        <v/>
      </c>
      <c r="I152" s="19" t="str">
        <f>IF(B151&lt;Simulador!$F$47,PMT(Simulador!$F$41+Simulador!$F$43,Simulador!$F$47,-Simulador!$F$37)+G152,"")</f>
        <v/>
      </c>
    </row>
    <row r="153" spans="1:9" ht="17.100000000000001" customHeight="1" x14ac:dyDescent="0.25">
      <c r="A153" s="14"/>
      <c r="B153" s="1" t="str">
        <f>IF(B152&lt;Simulador!$F$47,B152+1,"")</f>
        <v/>
      </c>
      <c r="C153" s="18" t="str">
        <f>IF(B152&lt;Simulador!$F$47,H152,"")</f>
        <v/>
      </c>
      <c r="D153" s="17" t="str">
        <f>IF(Tabla1[[#This Row],[Periodo]]="","",IF(B153&lt;=Simulador!$F$47,PPMT(Simulador!$F$41+Simulador!$F$43,Cronograma!B153,Simulador!$F$47,-Simulador!$F$37),""))</f>
        <v/>
      </c>
      <c r="E153" s="19" t="str">
        <f>IF(B152&lt;Simulador!$F$47,(IPMT(Simulador!$F$41+Simulador!$F$43,Tabla1[[#This Row],[Periodo]],Simulador!$F$47,-Simulador!$F$37)-Tabla1[[#This Row],[Seguro Desgravamen]]),"")</f>
        <v/>
      </c>
      <c r="F153" s="19" t="str">
        <f>IF(B152&lt;Simulador!$F$47,C153*Simulador!$F$43,"")</f>
        <v/>
      </c>
      <c r="G153" s="18" t="str">
        <f>IF(B152&lt;Simulador!$F$47,Simulador!$F$45*Simulador!$F$12/12,"")</f>
        <v/>
      </c>
      <c r="H153" s="19" t="str">
        <f>IF(B152&lt;Simulador!$F$47,C153-D153,"")</f>
        <v/>
      </c>
      <c r="I153" s="19" t="str">
        <f>IF(B152&lt;Simulador!$F$47,PMT(Simulador!$F$41+Simulador!$F$43,Simulador!$F$47,-Simulador!$F$37)+G153,"")</f>
        <v/>
      </c>
    </row>
    <row r="154" spans="1:9" ht="17.100000000000001" customHeight="1" x14ac:dyDescent="0.25">
      <c r="A154" s="14"/>
      <c r="B154" s="1" t="str">
        <f>IF(B153&lt;Simulador!$F$47,B153+1,"")</f>
        <v/>
      </c>
      <c r="C154" s="18" t="str">
        <f>IF(B153&lt;Simulador!$F$47,H153,"")</f>
        <v/>
      </c>
      <c r="D154" s="17" t="str">
        <f>IF(Tabla1[[#This Row],[Periodo]]="","",IF(B154&lt;=Simulador!$F$47,PPMT(Simulador!$F$41+Simulador!$F$43,Cronograma!B154,Simulador!$F$47,-Simulador!$F$37),""))</f>
        <v/>
      </c>
      <c r="E154" s="19" t="str">
        <f>IF(B153&lt;Simulador!$F$47,(IPMT(Simulador!$F$41+Simulador!$F$43,Tabla1[[#This Row],[Periodo]],Simulador!$F$47,-Simulador!$F$37)-Tabla1[[#This Row],[Seguro Desgravamen]]),"")</f>
        <v/>
      </c>
      <c r="F154" s="19" t="str">
        <f>IF(B153&lt;Simulador!$F$47,C154*Simulador!$F$43,"")</f>
        <v/>
      </c>
      <c r="G154" s="18" t="str">
        <f>IF(B153&lt;Simulador!$F$47,Simulador!$F$45*Simulador!$F$12/12,"")</f>
        <v/>
      </c>
      <c r="H154" s="19" t="str">
        <f>IF(B153&lt;Simulador!$F$47,C154-D154,"")</f>
        <v/>
      </c>
      <c r="I154" s="19" t="str">
        <f>IF(B153&lt;Simulador!$F$47,PMT(Simulador!$F$41+Simulador!$F$43,Simulador!$F$47,-Simulador!$F$37)+G154,"")</f>
        <v/>
      </c>
    </row>
    <row r="155" spans="1:9" ht="17.100000000000001" customHeight="1" x14ac:dyDescent="0.25">
      <c r="A155" s="14"/>
      <c r="B155" s="1" t="str">
        <f>IF(B154&lt;Simulador!$F$47,B154+1,"")</f>
        <v/>
      </c>
      <c r="C155" s="18" t="str">
        <f>IF(B154&lt;Simulador!$F$47,H154,"")</f>
        <v/>
      </c>
      <c r="D155" s="17" t="str">
        <f>IF(Tabla1[[#This Row],[Periodo]]="","",IF(B155&lt;=Simulador!$F$47,PPMT(Simulador!$F$41+Simulador!$F$43,Cronograma!B155,Simulador!$F$47,-Simulador!$F$37),""))</f>
        <v/>
      </c>
      <c r="E155" s="19" t="str">
        <f>IF(B154&lt;Simulador!$F$47,(IPMT(Simulador!$F$41+Simulador!$F$43,Tabla1[[#This Row],[Periodo]],Simulador!$F$47,-Simulador!$F$37)-Tabla1[[#This Row],[Seguro Desgravamen]]),"")</f>
        <v/>
      </c>
      <c r="F155" s="19" t="str">
        <f>IF(B154&lt;Simulador!$F$47,C155*Simulador!$F$43,"")</f>
        <v/>
      </c>
      <c r="G155" s="18" t="str">
        <f>IF(B154&lt;Simulador!$F$47,Simulador!$F$45*Simulador!$F$12/12,"")</f>
        <v/>
      </c>
      <c r="H155" s="19" t="str">
        <f>IF(B154&lt;Simulador!$F$47,C155-D155,"")</f>
        <v/>
      </c>
      <c r="I155" s="19" t="str">
        <f>IF(B154&lt;Simulador!$F$47,PMT(Simulador!$F$41+Simulador!$F$43,Simulador!$F$47,-Simulador!$F$37)+G155,"")</f>
        <v/>
      </c>
    </row>
    <row r="156" spans="1:9" ht="17.100000000000001" customHeight="1" x14ac:dyDescent="0.25">
      <c r="A156" s="14"/>
      <c r="B156" s="1" t="str">
        <f>IF(B155&lt;Simulador!$F$47,B155+1,"")</f>
        <v/>
      </c>
      <c r="C156" s="18" t="str">
        <f>IF(B155&lt;Simulador!$F$47,H155,"")</f>
        <v/>
      </c>
      <c r="D156" s="17" t="str">
        <f>IF(Tabla1[[#This Row],[Periodo]]="","",IF(B156&lt;=Simulador!$F$47,PPMT(Simulador!$F$41+Simulador!$F$43,Cronograma!B156,Simulador!$F$47,-Simulador!$F$37),""))</f>
        <v/>
      </c>
      <c r="E156" s="19" t="str">
        <f>IF(B155&lt;Simulador!$F$47,(IPMT(Simulador!$F$41+Simulador!$F$43,Tabla1[[#This Row],[Periodo]],Simulador!$F$47,-Simulador!$F$37)-Tabla1[[#This Row],[Seguro Desgravamen]]),"")</f>
        <v/>
      </c>
      <c r="F156" s="19" t="str">
        <f>IF(B155&lt;Simulador!$F$47,C156*Simulador!$F$43,"")</f>
        <v/>
      </c>
      <c r="G156" s="18" t="str">
        <f>IF(B155&lt;Simulador!$F$47,Simulador!$F$45*Simulador!$F$12/12,"")</f>
        <v/>
      </c>
      <c r="H156" s="19" t="str">
        <f>IF(B155&lt;Simulador!$F$47,C156-D156,"")</f>
        <v/>
      </c>
      <c r="I156" s="19" t="str">
        <f>IF(B155&lt;Simulador!$F$47,PMT(Simulador!$F$41+Simulador!$F$43,Simulador!$F$47,-Simulador!$F$37)+G156,"")</f>
        <v/>
      </c>
    </row>
    <row r="157" spans="1:9" ht="17.100000000000001" customHeight="1" x14ac:dyDescent="0.25">
      <c r="A157" s="14"/>
      <c r="B157" s="1" t="str">
        <f>IF(B156&lt;Simulador!$F$47,B156+1,"")</f>
        <v/>
      </c>
      <c r="C157" s="18" t="str">
        <f>IF(B156&lt;Simulador!$F$47,H156,"")</f>
        <v/>
      </c>
      <c r="D157" s="17" t="str">
        <f>IF(Tabla1[[#This Row],[Periodo]]="","",IF(B157&lt;=Simulador!$F$47,PPMT(Simulador!$F$41+Simulador!$F$43,Cronograma!B157,Simulador!$F$47,-Simulador!$F$37),""))</f>
        <v/>
      </c>
      <c r="E157" s="19" t="str">
        <f>IF(B156&lt;Simulador!$F$47,(IPMT(Simulador!$F$41+Simulador!$F$43,Tabla1[[#This Row],[Periodo]],Simulador!$F$47,-Simulador!$F$37)-Tabla1[[#This Row],[Seguro Desgravamen]]),"")</f>
        <v/>
      </c>
      <c r="F157" s="19" t="str">
        <f>IF(B156&lt;Simulador!$F$47,C157*Simulador!$F$43,"")</f>
        <v/>
      </c>
      <c r="G157" s="18" t="str">
        <f>IF(B156&lt;Simulador!$F$47,Simulador!$F$45*Simulador!$F$12/12,"")</f>
        <v/>
      </c>
      <c r="H157" s="19" t="str">
        <f>IF(B156&lt;Simulador!$F$47,C157-D157,"")</f>
        <v/>
      </c>
      <c r="I157" s="19" t="str">
        <f>IF(B156&lt;Simulador!$F$47,PMT(Simulador!$F$41+Simulador!$F$43,Simulador!$F$47,-Simulador!$F$37)+G157,"")</f>
        <v/>
      </c>
    </row>
    <row r="158" spans="1:9" ht="17.100000000000001" customHeight="1" x14ac:dyDescent="0.25">
      <c r="A158" s="14"/>
      <c r="B158" s="1" t="str">
        <f>IF(B157&lt;Simulador!$F$47,B157+1,"")</f>
        <v/>
      </c>
      <c r="C158" s="18" t="str">
        <f>IF(B157&lt;Simulador!$F$47,H157,"")</f>
        <v/>
      </c>
      <c r="D158" s="17" t="str">
        <f>IF(Tabla1[[#This Row],[Periodo]]="","",IF(B158&lt;=Simulador!$F$47,PPMT(Simulador!$F$41+Simulador!$F$43,Cronograma!B158,Simulador!$F$47,-Simulador!$F$37),""))</f>
        <v/>
      </c>
      <c r="E158" s="19" t="str">
        <f>IF(B157&lt;Simulador!$F$47,(IPMT(Simulador!$F$41+Simulador!$F$43,Tabla1[[#This Row],[Periodo]],Simulador!$F$47,-Simulador!$F$37)-Tabla1[[#This Row],[Seguro Desgravamen]]),"")</f>
        <v/>
      </c>
      <c r="F158" s="19" t="str">
        <f>IF(B157&lt;Simulador!$F$47,C158*Simulador!$F$43,"")</f>
        <v/>
      </c>
      <c r="G158" s="18" t="str">
        <f>IF(B157&lt;Simulador!$F$47,Simulador!$F$45*Simulador!$F$12/12,"")</f>
        <v/>
      </c>
      <c r="H158" s="19" t="str">
        <f>IF(B157&lt;Simulador!$F$47,C158-D158,"")</f>
        <v/>
      </c>
      <c r="I158" s="19" t="str">
        <f>IF(B157&lt;Simulador!$F$47,PMT(Simulador!$F$41+Simulador!$F$43,Simulador!$F$47,-Simulador!$F$37)+G158,"")</f>
        <v/>
      </c>
    </row>
    <row r="159" spans="1:9" ht="17.100000000000001" customHeight="1" x14ac:dyDescent="0.25">
      <c r="A159" s="14"/>
      <c r="B159" s="1" t="str">
        <f>IF(B158&lt;Simulador!$F$47,B158+1,"")</f>
        <v/>
      </c>
      <c r="C159" s="18" t="str">
        <f>IF(B158&lt;Simulador!$F$47,H158,"")</f>
        <v/>
      </c>
      <c r="D159" s="17" t="str">
        <f>IF(Tabla1[[#This Row],[Periodo]]="","",IF(B159&lt;=Simulador!$F$47,PPMT(Simulador!$F$41+Simulador!$F$43,Cronograma!B159,Simulador!$F$47,-Simulador!$F$37),""))</f>
        <v/>
      </c>
      <c r="E159" s="19" t="str">
        <f>IF(B158&lt;Simulador!$F$47,(IPMT(Simulador!$F$41+Simulador!$F$43,Tabla1[[#This Row],[Periodo]],Simulador!$F$47,-Simulador!$F$37)-Tabla1[[#This Row],[Seguro Desgravamen]]),"")</f>
        <v/>
      </c>
      <c r="F159" s="19" t="str">
        <f>IF(B158&lt;Simulador!$F$47,C159*Simulador!$F$43,"")</f>
        <v/>
      </c>
      <c r="G159" s="18" t="str">
        <f>IF(B158&lt;Simulador!$F$47,Simulador!$F$45*Simulador!$F$12/12,"")</f>
        <v/>
      </c>
      <c r="H159" s="19" t="str">
        <f>IF(B158&lt;Simulador!$F$47,C159-D159,"")</f>
        <v/>
      </c>
      <c r="I159" s="19" t="str">
        <f>IF(B158&lt;Simulador!$F$47,PMT(Simulador!$F$41+Simulador!$F$43,Simulador!$F$47,-Simulador!$F$37)+G159,"")</f>
        <v/>
      </c>
    </row>
    <row r="160" spans="1:9" ht="17.100000000000001" customHeight="1" x14ac:dyDescent="0.25">
      <c r="A160" s="14"/>
      <c r="B160" s="1" t="str">
        <f>IF(B159&lt;Simulador!$F$47,B159+1,"")</f>
        <v/>
      </c>
      <c r="C160" s="18" t="str">
        <f>IF(B159&lt;Simulador!$F$47,H159,"")</f>
        <v/>
      </c>
      <c r="D160" s="17" t="str">
        <f>IF(Tabla1[[#This Row],[Periodo]]="","",IF(B160&lt;=Simulador!$F$47,PPMT(Simulador!$F$41+Simulador!$F$43,Cronograma!B160,Simulador!$F$47,-Simulador!$F$37),""))</f>
        <v/>
      </c>
      <c r="E160" s="19" t="str">
        <f>IF(B159&lt;Simulador!$F$47,(IPMT(Simulador!$F$41+Simulador!$F$43,Tabla1[[#This Row],[Periodo]],Simulador!$F$47,-Simulador!$F$37)-Tabla1[[#This Row],[Seguro Desgravamen]]),"")</f>
        <v/>
      </c>
      <c r="F160" s="19" t="str">
        <f>IF(B159&lt;Simulador!$F$47,C160*Simulador!$F$43,"")</f>
        <v/>
      </c>
      <c r="G160" s="18" t="str">
        <f>IF(B159&lt;Simulador!$F$47,Simulador!$F$45*Simulador!$F$12/12,"")</f>
        <v/>
      </c>
      <c r="H160" s="19" t="str">
        <f>IF(B159&lt;Simulador!$F$47,C160-D160,"")</f>
        <v/>
      </c>
      <c r="I160" s="19" t="str">
        <f>IF(B159&lt;Simulador!$F$47,PMT(Simulador!$F$41+Simulador!$F$43,Simulador!$F$47,-Simulador!$F$37)+G160,"")</f>
        <v/>
      </c>
    </row>
    <row r="161" spans="1:9" ht="17.100000000000001" customHeight="1" x14ac:dyDescent="0.25">
      <c r="A161" s="14"/>
      <c r="B161" s="1" t="str">
        <f>IF(B160&lt;Simulador!$F$47,B160+1,"")</f>
        <v/>
      </c>
      <c r="C161" s="18" t="str">
        <f>IF(B160&lt;Simulador!$F$47,H160,"")</f>
        <v/>
      </c>
      <c r="D161" s="17" t="str">
        <f>IF(Tabla1[[#This Row],[Periodo]]="","",IF(B161&lt;=Simulador!$F$47,PPMT(Simulador!$F$41+Simulador!$F$43,Cronograma!B161,Simulador!$F$47,-Simulador!$F$37),""))</f>
        <v/>
      </c>
      <c r="E161" s="19" t="str">
        <f>IF(B160&lt;Simulador!$F$47,(IPMT(Simulador!$F$41+Simulador!$F$43,Tabla1[[#This Row],[Periodo]],Simulador!$F$47,-Simulador!$F$37)-Tabla1[[#This Row],[Seguro Desgravamen]]),"")</f>
        <v/>
      </c>
      <c r="F161" s="19" t="str">
        <f>IF(B160&lt;Simulador!$F$47,C161*Simulador!$F$43,"")</f>
        <v/>
      </c>
      <c r="G161" s="18" t="str">
        <f>IF(B160&lt;Simulador!$F$47,Simulador!$F$45*Simulador!$F$12/12,"")</f>
        <v/>
      </c>
      <c r="H161" s="19" t="str">
        <f>IF(B160&lt;Simulador!$F$47,C161-D161,"")</f>
        <v/>
      </c>
      <c r="I161" s="19" t="str">
        <f>IF(B160&lt;Simulador!$F$47,PMT(Simulador!$F$41+Simulador!$F$43,Simulador!$F$47,-Simulador!$F$37)+G161,"")</f>
        <v/>
      </c>
    </row>
    <row r="162" spans="1:9" ht="17.100000000000001" customHeight="1" x14ac:dyDescent="0.25">
      <c r="A162" s="14"/>
      <c r="B162" s="1" t="str">
        <f>IF(B161&lt;Simulador!$F$47,B161+1,"")</f>
        <v/>
      </c>
      <c r="C162" s="18" t="str">
        <f>IF(B161&lt;Simulador!$F$47,H161,"")</f>
        <v/>
      </c>
      <c r="D162" s="17" t="str">
        <f>IF(Tabla1[[#This Row],[Periodo]]="","",IF(B162&lt;=Simulador!$F$47,PPMT(Simulador!$F$41+Simulador!$F$43,Cronograma!B162,Simulador!$F$47,-Simulador!$F$37),""))</f>
        <v/>
      </c>
      <c r="E162" s="19" t="str">
        <f>IF(B161&lt;Simulador!$F$47,(IPMT(Simulador!$F$41+Simulador!$F$43,Tabla1[[#This Row],[Periodo]],Simulador!$F$47,-Simulador!$F$37)-Tabla1[[#This Row],[Seguro Desgravamen]]),"")</f>
        <v/>
      </c>
      <c r="F162" s="19" t="str">
        <f>IF(B161&lt;Simulador!$F$47,C162*Simulador!$F$43,"")</f>
        <v/>
      </c>
      <c r="G162" s="18" t="str">
        <f>IF(B161&lt;Simulador!$F$47,Simulador!$F$45*Simulador!$F$12/12,"")</f>
        <v/>
      </c>
      <c r="H162" s="19" t="str">
        <f>IF(B161&lt;Simulador!$F$47,C162-D162,"")</f>
        <v/>
      </c>
      <c r="I162" s="19" t="str">
        <f>IF(B161&lt;Simulador!$F$47,PMT(Simulador!$F$41+Simulador!$F$43,Simulador!$F$47,-Simulador!$F$37)+G162,"")</f>
        <v/>
      </c>
    </row>
    <row r="163" spans="1:9" ht="17.100000000000001" customHeight="1" x14ac:dyDescent="0.25">
      <c r="A163" s="14"/>
      <c r="B163" s="1" t="str">
        <f>IF(B162&lt;Simulador!$F$47,B162+1,"")</f>
        <v/>
      </c>
      <c r="C163" s="18" t="str">
        <f>IF(B162&lt;Simulador!$F$47,H162,"")</f>
        <v/>
      </c>
      <c r="D163" s="17" t="str">
        <f>IF(Tabla1[[#This Row],[Periodo]]="","",IF(B163&lt;=Simulador!$F$47,PPMT(Simulador!$F$41+Simulador!$F$43,Cronograma!B163,Simulador!$F$47,-Simulador!$F$37),""))</f>
        <v/>
      </c>
      <c r="E163" s="19" t="str">
        <f>IF(B162&lt;Simulador!$F$47,(IPMT(Simulador!$F$41+Simulador!$F$43,Tabla1[[#This Row],[Periodo]],Simulador!$F$47,-Simulador!$F$37)-Tabla1[[#This Row],[Seguro Desgravamen]]),"")</f>
        <v/>
      </c>
      <c r="F163" s="19" t="str">
        <f>IF(B162&lt;Simulador!$F$47,C163*Simulador!$F$43,"")</f>
        <v/>
      </c>
      <c r="G163" s="18" t="str">
        <f>IF(B162&lt;Simulador!$F$47,Simulador!$F$45*Simulador!$F$12/12,"")</f>
        <v/>
      </c>
      <c r="H163" s="19" t="str">
        <f>IF(B162&lt;Simulador!$F$47,C163-D163,"")</f>
        <v/>
      </c>
      <c r="I163" s="19" t="str">
        <f>IF(B162&lt;Simulador!$F$47,PMT(Simulador!$F$41+Simulador!$F$43,Simulador!$F$47,-Simulador!$F$37)+G163,"")</f>
        <v/>
      </c>
    </row>
    <row r="164" spans="1:9" ht="17.100000000000001" customHeight="1" x14ac:dyDescent="0.25">
      <c r="A164" s="14"/>
      <c r="B164" s="1" t="str">
        <f>IF(B163&lt;Simulador!$F$47,B163+1,"")</f>
        <v/>
      </c>
      <c r="C164" s="18" t="str">
        <f>IF(B163&lt;Simulador!$F$47,H163,"")</f>
        <v/>
      </c>
      <c r="D164" s="17" t="str">
        <f>IF(Tabla1[[#This Row],[Periodo]]="","",IF(B164&lt;=Simulador!$F$47,PPMT(Simulador!$F$41+Simulador!$F$43,Cronograma!B164,Simulador!$F$47,-Simulador!$F$37),""))</f>
        <v/>
      </c>
      <c r="E164" s="19" t="str">
        <f>IF(B163&lt;Simulador!$F$47,(IPMT(Simulador!$F$41+Simulador!$F$43,Tabla1[[#This Row],[Periodo]],Simulador!$F$47,-Simulador!$F$37)-Tabla1[[#This Row],[Seguro Desgravamen]]),"")</f>
        <v/>
      </c>
      <c r="F164" s="19" t="str">
        <f>IF(B163&lt;Simulador!$F$47,C164*Simulador!$F$43,"")</f>
        <v/>
      </c>
      <c r="G164" s="18" t="str">
        <f>IF(B163&lt;Simulador!$F$47,Simulador!$F$45*Simulador!$F$12/12,"")</f>
        <v/>
      </c>
      <c r="H164" s="19" t="str">
        <f>IF(B163&lt;Simulador!$F$47,C164-D164,"")</f>
        <v/>
      </c>
      <c r="I164" s="19" t="str">
        <f>IF(B163&lt;Simulador!$F$47,PMT(Simulador!$F$41+Simulador!$F$43,Simulador!$F$47,-Simulador!$F$37)+G164,"")</f>
        <v/>
      </c>
    </row>
    <row r="165" spans="1:9" ht="17.100000000000001" customHeight="1" x14ac:dyDescent="0.25">
      <c r="A165" s="14"/>
      <c r="B165" s="1" t="str">
        <f>IF(B164&lt;Simulador!$F$47,B164+1,"")</f>
        <v/>
      </c>
      <c r="C165" s="18" t="str">
        <f>IF(B164&lt;Simulador!$F$47,H164,"")</f>
        <v/>
      </c>
      <c r="D165" s="17" t="str">
        <f>IF(Tabla1[[#This Row],[Periodo]]="","",IF(B165&lt;=Simulador!$F$47,PPMT(Simulador!$F$41+Simulador!$F$43,Cronograma!B165,Simulador!$F$47,-Simulador!$F$37),""))</f>
        <v/>
      </c>
      <c r="E165" s="19" t="str">
        <f>IF(B164&lt;Simulador!$F$47,(IPMT(Simulador!$F$41+Simulador!$F$43,Tabla1[[#This Row],[Periodo]],Simulador!$F$47,-Simulador!$F$37)-Tabla1[[#This Row],[Seguro Desgravamen]]),"")</f>
        <v/>
      </c>
      <c r="F165" s="19" t="str">
        <f>IF(B164&lt;Simulador!$F$47,C165*Simulador!$F$43,"")</f>
        <v/>
      </c>
      <c r="G165" s="18" t="str">
        <f>IF(B164&lt;Simulador!$F$47,Simulador!$F$45*Simulador!$F$12/12,"")</f>
        <v/>
      </c>
      <c r="H165" s="19" t="str">
        <f>IF(B164&lt;Simulador!$F$47,C165-D165,"")</f>
        <v/>
      </c>
      <c r="I165" s="19" t="str">
        <f>IF(B164&lt;Simulador!$F$47,PMT(Simulador!$F$41+Simulador!$F$43,Simulador!$F$47,-Simulador!$F$37)+G165,"")</f>
        <v/>
      </c>
    </row>
    <row r="166" spans="1:9" ht="17.100000000000001" customHeight="1" x14ac:dyDescent="0.25">
      <c r="A166" s="14"/>
      <c r="B166" s="1" t="str">
        <f>IF(B165&lt;Simulador!$F$47,B165+1,"")</f>
        <v/>
      </c>
      <c r="C166" s="18" t="str">
        <f>IF(B165&lt;Simulador!$F$47,H165,"")</f>
        <v/>
      </c>
      <c r="D166" s="17" t="str">
        <f>IF(Tabla1[[#This Row],[Periodo]]="","",IF(B166&lt;=Simulador!$F$47,PPMT(Simulador!$F$41+Simulador!$F$43,Cronograma!B166,Simulador!$F$47,-Simulador!$F$37),""))</f>
        <v/>
      </c>
      <c r="E166" s="19" t="str">
        <f>IF(B165&lt;Simulador!$F$47,(IPMT(Simulador!$F$41+Simulador!$F$43,Tabla1[[#This Row],[Periodo]],Simulador!$F$47,-Simulador!$F$37)-Tabla1[[#This Row],[Seguro Desgravamen]]),"")</f>
        <v/>
      </c>
      <c r="F166" s="19" t="str">
        <f>IF(B165&lt;Simulador!$F$47,C166*Simulador!$F$43,"")</f>
        <v/>
      </c>
      <c r="G166" s="18" t="str">
        <f>IF(B165&lt;Simulador!$F$47,Simulador!$F$45*Simulador!$F$12/12,"")</f>
        <v/>
      </c>
      <c r="H166" s="19" t="str">
        <f>IF(B165&lt;Simulador!$F$47,C166-D166,"")</f>
        <v/>
      </c>
      <c r="I166" s="19" t="str">
        <f>IF(B165&lt;Simulador!$F$47,PMT(Simulador!$F$41+Simulador!$F$43,Simulador!$F$47,-Simulador!$F$37)+G166,"")</f>
        <v/>
      </c>
    </row>
    <row r="167" spans="1:9" ht="17.100000000000001" customHeight="1" x14ac:dyDescent="0.25">
      <c r="A167" s="14"/>
      <c r="B167" s="1" t="str">
        <f>IF(B166&lt;Simulador!$F$47,B166+1,"")</f>
        <v/>
      </c>
      <c r="C167" s="18" t="str">
        <f>IF(B166&lt;Simulador!$F$47,H166,"")</f>
        <v/>
      </c>
      <c r="D167" s="17" t="str">
        <f>IF(Tabla1[[#This Row],[Periodo]]="","",IF(B167&lt;=Simulador!$F$47,PPMT(Simulador!$F$41+Simulador!$F$43,Cronograma!B167,Simulador!$F$47,-Simulador!$F$37),""))</f>
        <v/>
      </c>
      <c r="E167" s="19" t="str">
        <f>IF(B166&lt;Simulador!$F$47,(IPMT(Simulador!$F$41+Simulador!$F$43,Tabla1[[#This Row],[Periodo]],Simulador!$F$47,-Simulador!$F$37)-Tabla1[[#This Row],[Seguro Desgravamen]]),"")</f>
        <v/>
      </c>
      <c r="F167" s="19" t="str">
        <f>IF(B166&lt;Simulador!$F$47,C167*Simulador!$F$43,"")</f>
        <v/>
      </c>
      <c r="G167" s="18" t="str">
        <f>IF(B166&lt;Simulador!$F$47,Simulador!$F$45*Simulador!$F$12/12,"")</f>
        <v/>
      </c>
      <c r="H167" s="19" t="str">
        <f>IF(B166&lt;Simulador!$F$47,C167-D167,"")</f>
        <v/>
      </c>
      <c r="I167" s="19" t="str">
        <f>IF(B166&lt;Simulador!$F$47,PMT(Simulador!$F$41+Simulador!$F$43,Simulador!$F$47,-Simulador!$F$37)+G167,"")</f>
        <v/>
      </c>
    </row>
    <row r="168" spans="1:9" ht="17.100000000000001" customHeight="1" x14ac:dyDescent="0.25">
      <c r="A168" s="14"/>
      <c r="B168" s="1" t="str">
        <f>IF(B167&lt;Simulador!$F$47,B167+1,"")</f>
        <v/>
      </c>
      <c r="C168" s="18" t="str">
        <f>IF(B167&lt;Simulador!$F$47,H167,"")</f>
        <v/>
      </c>
      <c r="D168" s="17" t="str">
        <f>IF(Tabla1[[#This Row],[Periodo]]="","",IF(B168&lt;=Simulador!$F$47,PPMT(Simulador!$F$41+Simulador!$F$43,Cronograma!B168,Simulador!$F$47,-Simulador!$F$37),""))</f>
        <v/>
      </c>
      <c r="E168" s="19" t="str">
        <f>IF(B167&lt;Simulador!$F$47,(IPMT(Simulador!$F$41+Simulador!$F$43,Tabla1[[#This Row],[Periodo]],Simulador!$F$47,-Simulador!$F$37)-Tabla1[[#This Row],[Seguro Desgravamen]]),"")</f>
        <v/>
      </c>
      <c r="F168" s="19" t="str">
        <f>IF(B167&lt;Simulador!$F$47,C168*Simulador!$F$43,"")</f>
        <v/>
      </c>
      <c r="G168" s="18" t="str">
        <f>IF(B167&lt;Simulador!$F$47,Simulador!$F$45*Simulador!$F$12/12,"")</f>
        <v/>
      </c>
      <c r="H168" s="19" t="str">
        <f>IF(B167&lt;Simulador!$F$47,C168-D168,"")</f>
        <v/>
      </c>
      <c r="I168" s="19" t="str">
        <f>IF(B167&lt;Simulador!$F$47,PMT(Simulador!$F$41+Simulador!$F$43,Simulador!$F$47,-Simulador!$F$37)+G168,"")</f>
        <v/>
      </c>
    </row>
    <row r="169" spans="1:9" ht="17.100000000000001" customHeight="1" x14ac:dyDescent="0.25">
      <c r="A169" s="14"/>
      <c r="B169" s="1" t="str">
        <f>IF(B168&lt;Simulador!$F$47,B168+1,"")</f>
        <v/>
      </c>
      <c r="C169" s="18" t="str">
        <f>IF(B168&lt;Simulador!$F$47,H168,"")</f>
        <v/>
      </c>
      <c r="D169" s="17" t="str">
        <f>IF(Tabla1[[#This Row],[Periodo]]="","",IF(B169&lt;=Simulador!$F$47,PPMT(Simulador!$F$41+Simulador!$F$43,Cronograma!B169,Simulador!$F$47,-Simulador!$F$37),""))</f>
        <v/>
      </c>
      <c r="E169" s="19" t="str">
        <f>IF(B168&lt;Simulador!$F$47,(IPMT(Simulador!$F$41+Simulador!$F$43,Tabla1[[#This Row],[Periodo]],Simulador!$F$47,-Simulador!$F$37)-Tabla1[[#This Row],[Seguro Desgravamen]]),"")</f>
        <v/>
      </c>
      <c r="F169" s="19" t="str">
        <f>IF(B168&lt;Simulador!$F$47,C169*Simulador!$F$43,"")</f>
        <v/>
      </c>
      <c r="G169" s="18" t="str">
        <f>IF(B168&lt;Simulador!$F$47,Simulador!$F$45*Simulador!$F$12/12,"")</f>
        <v/>
      </c>
      <c r="H169" s="19" t="str">
        <f>IF(B168&lt;Simulador!$F$47,C169-D169,"")</f>
        <v/>
      </c>
      <c r="I169" s="19" t="str">
        <f>IF(B168&lt;Simulador!$F$47,PMT(Simulador!$F$41+Simulador!$F$43,Simulador!$F$47,-Simulador!$F$37)+G169,"")</f>
        <v/>
      </c>
    </row>
    <row r="170" spans="1:9" ht="17.100000000000001" customHeight="1" x14ac:dyDescent="0.25">
      <c r="A170" s="14"/>
      <c r="B170" s="1" t="str">
        <f>IF(B169&lt;Simulador!$F$47,B169+1,"")</f>
        <v/>
      </c>
      <c r="C170" s="18" t="str">
        <f>IF(B169&lt;Simulador!$F$47,H169,"")</f>
        <v/>
      </c>
      <c r="D170" s="17" t="str">
        <f>IF(Tabla1[[#This Row],[Periodo]]="","",IF(B170&lt;=Simulador!$F$47,PPMT(Simulador!$F$41+Simulador!$F$43,Cronograma!B170,Simulador!$F$47,-Simulador!$F$37),""))</f>
        <v/>
      </c>
      <c r="E170" s="19" t="str">
        <f>IF(B169&lt;Simulador!$F$47,(IPMT(Simulador!$F$41+Simulador!$F$43,Tabla1[[#This Row],[Periodo]],Simulador!$F$47,-Simulador!$F$37)-Tabla1[[#This Row],[Seguro Desgravamen]]),"")</f>
        <v/>
      </c>
      <c r="F170" s="19" t="str">
        <f>IF(B169&lt;Simulador!$F$47,C170*Simulador!$F$43,"")</f>
        <v/>
      </c>
      <c r="G170" s="18" t="str">
        <f>IF(B169&lt;Simulador!$F$47,Simulador!$F$45*Simulador!$F$12/12,"")</f>
        <v/>
      </c>
      <c r="H170" s="19" t="str">
        <f>IF(B169&lt;Simulador!$F$47,C170-D170,"")</f>
        <v/>
      </c>
      <c r="I170" s="19" t="str">
        <f>IF(B169&lt;Simulador!$F$47,PMT(Simulador!$F$41+Simulador!$F$43,Simulador!$F$47,-Simulador!$F$37)+G170,"")</f>
        <v/>
      </c>
    </row>
    <row r="171" spans="1:9" ht="17.100000000000001" customHeight="1" x14ac:dyDescent="0.25">
      <c r="A171" s="14"/>
      <c r="B171" s="1" t="str">
        <f>IF(B170&lt;Simulador!$F$47,B170+1,"")</f>
        <v/>
      </c>
      <c r="C171" s="18" t="str">
        <f>IF(B170&lt;Simulador!$F$47,H170,"")</f>
        <v/>
      </c>
      <c r="D171" s="17" t="str">
        <f>IF(Tabla1[[#This Row],[Periodo]]="","",IF(B171&lt;=Simulador!$F$47,PPMT(Simulador!$F$41+Simulador!$F$43,Cronograma!B171,Simulador!$F$47,-Simulador!$F$37),""))</f>
        <v/>
      </c>
      <c r="E171" s="19" t="str">
        <f>IF(B170&lt;Simulador!$F$47,(IPMT(Simulador!$F$41+Simulador!$F$43,Tabla1[[#This Row],[Periodo]],Simulador!$F$47,-Simulador!$F$37)-Tabla1[[#This Row],[Seguro Desgravamen]]),"")</f>
        <v/>
      </c>
      <c r="F171" s="19" t="str">
        <f>IF(B170&lt;Simulador!$F$47,C171*Simulador!$F$43,"")</f>
        <v/>
      </c>
      <c r="G171" s="18" t="str">
        <f>IF(B170&lt;Simulador!$F$47,Simulador!$F$45*Simulador!$F$12/12,"")</f>
        <v/>
      </c>
      <c r="H171" s="19" t="str">
        <f>IF(B170&lt;Simulador!$F$47,C171-D171,"")</f>
        <v/>
      </c>
      <c r="I171" s="19" t="str">
        <f>IF(B170&lt;Simulador!$F$47,PMT(Simulador!$F$41+Simulador!$F$43,Simulador!$F$47,-Simulador!$F$37)+G171,"")</f>
        <v/>
      </c>
    </row>
    <row r="172" spans="1:9" ht="17.100000000000001" customHeight="1" x14ac:dyDescent="0.25">
      <c r="A172" s="14"/>
      <c r="B172" s="1" t="str">
        <f>IF(B171&lt;Simulador!$F$47,B171+1,"")</f>
        <v/>
      </c>
      <c r="C172" s="18" t="str">
        <f>IF(B171&lt;Simulador!$F$47,H171,"")</f>
        <v/>
      </c>
      <c r="D172" s="17" t="str">
        <f>IF(Tabla1[[#This Row],[Periodo]]="","",IF(B172&lt;=Simulador!$F$47,PPMT(Simulador!$F$41+Simulador!$F$43,Cronograma!B172,Simulador!$F$47,-Simulador!$F$37),""))</f>
        <v/>
      </c>
      <c r="E172" s="19" t="str">
        <f>IF(B171&lt;Simulador!$F$47,(IPMT(Simulador!$F$41+Simulador!$F$43,Tabla1[[#This Row],[Periodo]],Simulador!$F$47,-Simulador!$F$37)-Tabla1[[#This Row],[Seguro Desgravamen]]),"")</f>
        <v/>
      </c>
      <c r="F172" s="19" t="str">
        <f>IF(B171&lt;Simulador!$F$47,C172*Simulador!$F$43,"")</f>
        <v/>
      </c>
      <c r="G172" s="18" t="str">
        <f>IF(B171&lt;Simulador!$F$47,Simulador!$F$45*Simulador!$F$12/12,"")</f>
        <v/>
      </c>
      <c r="H172" s="19" t="str">
        <f>IF(B171&lt;Simulador!$F$47,C172-D172,"")</f>
        <v/>
      </c>
      <c r="I172" s="19" t="str">
        <f>IF(B171&lt;Simulador!$F$47,PMT(Simulador!$F$41+Simulador!$F$43,Simulador!$F$47,-Simulador!$F$37)+G172,"")</f>
        <v/>
      </c>
    </row>
    <row r="173" spans="1:9" ht="17.100000000000001" customHeight="1" x14ac:dyDescent="0.25">
      <c r="A173" s="14"/>
      <c r="B173" s="1" t="str">
        <f>IF(B172&lt;Simulador!$F$47,B172+1,"")</f>
        <v/>
      </c>
      <c r="C173" s="18" t="str">
        <f>IF(B172&lt;Simulador!$F$47,H172,"")</f>
        <v/>
      </c>
      <c r="D173" s="17" t="str">
        <f>IF(Tabla1[[#This Row],[Periodo]]="","",IF(B173&lt;=Simulador!$F$47,PPMT(Simulador!$F$41+Simulador!$F$43,Cronograma!B173,Simulador!$F$47,-Simulador!$F$37),""))</f>
        <v/>
      </c>
      <c r="E173" s="19" t="str">
        <f>IF(B172&lt;Simulador!$F$47,(IPMT(Simulador!$F$41+Simulador!$F$43,Tabla1[[#This Row],[Periodo]],Simulador!$F$47,-Simulador!$F$37)-Tabla1[[#This Row],[Seguro Desgravamen]]),"")</f>
        <v/>
      </c>
      <c r="F173" s="19" t="str">
        <f>IF(B172&lt;Simulador!$F$47,C173*Simulador!$F$43,"")</f>
        <v/>
      </c>
      <c r="G173" s="18" t="str">
        <f>IF(B172&lt;Simulador!$F$47,Simulador!$F$45*Simulador!$F$12/12,"")</f>
        <v/>
      </c>
      <c r="H173" s="19" t="str">
        <f>IF(B172&lt;Simulador!$F$47,C173-D173,"")</f>
        <v/>
      </c>
      <c r="I173" s="19" t="str">
        <f>IF(B172&lt;Simulador!$F$47,PMT(Simulador!$F$41+Simulador!$F$43,Simulador!$F$47,-Simulador!$F$37)+G173,"")</f>
        <v/>
      </c>
    </row>
    <row r="174" spans="1:9" ht="17.100000000000001" customHeight="1" x14ac:dyDescent="0.25">
      <c r="A174" s="14"/>
      <c r="B174" s="1" t="str">
        <f>IF(B173&lt;Simulador!$F$47,B173+1,"")</f>
        <v/>
      </c>
      <c r="C174" s="18" t="str">
        <f>IF(B173&lt;Simulador!$F$47,H173,"")</f>
        <v/>
      </c>
      <c r="D174" s="17" t="str">
        <f>IF(Tabla1[[#This Row],[Periodo]]="","",IF(B174&lt;=Simulador!$F$47,PPMT(Simulador!$F$41+Simulador!$F$43,Cronograma!B174,Simulador!$F$47,-Simulador!$F$37),""))</f>
        <v/>
      </c>
      <c r="E174" s="19" t="str">
        <f>IF(B173&lt;Simulador!$F$47,(IPMT(Simulador!$F$41+Simulador!$F$43,Tabla1[[#This Row],[Periodo]],Simulador!$F$47,-Simulador!$F$37)-Tabla1[[#This Row],[Seguro Desgravamen]]),"")</f>
        <v/>
      </c>
      <c r="F174" s="19" t="str">
        <f>IF(B173&lt;Simulador!$F$47,C174*Simulador!$F$43,"")</f>
        <v/>
      </c>
      <c r="G174" s="18" t="str">
        <f>IF(B173&lt;Simulador!$F$47,Simulador!$F$45*Simulador!$F$12/12,"")</f>
        <v/>
      </c>
      <c r="H174" s="19" t="str">
        <f>IF(B173&lt;Simulador!$F$47,C174-D174,"")</f>
        <v/>
      </c>
      <c r="I174" s="19" t="str">
        <f>IF(B173&lt;Simulador!$F$47,PMT(Simulador!$F$41+Simulador!$F$43,Simulador!$F$47,-Simulador!$F$37)+G174,"")</f>
        <v/>
      </c>
    </row>
    <row r="175" spans="1:9" ht="17.100000000000001" customHeight="1" x14ac:dyDescent="0.25">
      <c r="A175" s="14"/>
      <c r="B175" s="1" t="str">
        <f>IF(B174&lt;Simulador!$F$47,B174+1,"")</f>
        <v/>
      </c>
      <c r="C175" s="18" t="str">
        <f>IF(B174&lt;Simulador!$F$47,H174,"")</f>
        <v/>
      </c>
      <c r="D175" s="17" t="str">
        <f>IF(Tabla1[[#This Row],[Periodo]]="","",IF(B175&lt;=Simulador!$F$47,PPMT(Simulador!$F$41+Simulador!$F$43,Cronograma!B175,Simulador!$F$47,-Simulador!$F$37),""))</f>
        <v/>
      </c>
      <c r="E175" s="19" t="str">
        <f>IF(B174&lt;Simulador!$F$47,(IPMT(Simulador!$F$41+Simulador!$F$43,Tabla1[[#This Row],[Periodo]],Simulador!$F$47,-Simulador!$F$37)-Tabla1[[#This Row],[Seguro Desgravamen]]),"")</f>
        <v/>
      </c>
      <c r="F175" s="19" t="str">
        <f>IF(B174&lt;Simulador!$F$47,C175*Simulador!$F$43,"")</f>
        <v/>
      </c>
      <c r="G175" s="18" t="str">
        <f>IF(B174&lt;Simulador!$F$47,Simulador!$F$45*Simulador!$F$12/12,"")</f>
        <v/>
      </c>
      <c r="H175" s="19" t="str">
        <f>IF(B174&lt;Simulador!$F$47,C175-D175,"")</f>
        <v/>
      </c>
      <c r="I175" s="19" t="str">
        <f>IF(B174&lt;Simulador!$F$47,PMT(Simulador!$F$41+Simulador!$F$43,Simulador!$F$47,-Simulador!$F$37)+G175,"")</f>
        <v/>
      </c>
    </row>
    <row r="176" spans="1:9" ht="17.100000000000001" customHeight="1" x14ac:dyDescent="0.25">
      <c r="A176" s="14"/>
      <c r="B176" s="1" t="str">
        <f>IF(B175&lt;Simulador!$F$47,B175+1,"")</f>
        <v/>
      </c>
      <c r="C176" s="18" t="str">
        <f>IF(B175&lt;Simulador!$F$47,H175,"")</f>
        <v/>
      </c>
      <c r="D176" s="17" t="str">
        <f>IF(Tabla1[[#This Row],[Periodo]]="","",IF(B176&lt;=Simulador!$F$47,PPMT(Simulador!$F$41+Simulador!$F$43,Cronograma!B176,Simulador!$F$47,-Simulador!$F$37),""))</f>
        <v/>
      </c>
      <c r="E176" s="19" t="str">
        <f>IF(B175&lt;Simulador!$F$47,(IPMT(Simulador!$F$41+Simulador!$F$43,Tabla1[[#This Row],[Periodo]],Simulador!$F$47,-Simulador!$F$37)-Tabla1[[#This Row],[Seguro Desgravamen]]),"")</f>
        <v/>
      </c>
      <c r="F176" s="19" t="str">
        <f>IF(B175&lt;Simulador!$F$47,C176*Simulador!$F$43,"")</f>
        <v/>
      </c>
      <c r="G176" s="18" t="str">
        <f>IF(B175&lt;Simulador!$F$47,Simulador!$F$45*Simulador!$F$12/12,"")</f>
        <v/>
      </c>
      <c r="H176" s="19" t="str">
        <f>IF(B175&lt;Simulador!$F$47,C176-D176,"")</f>
        <v/>
      </c>
      <c r="I176" s="19" t="str">
        <f>IF(B175&lt;Simulador!$F$47,PMT(Simulador!$F$41+Simulador!$F$43,Simulador!$F$47,-Simulador!$F$37)+G176,"")</f>
        <v/>
      </c>
    </row>
    <row r="177" spans="1:9" ht="17.100000000000001" customHeight="1" x14ac:dyDescent="0.25">
      <c r="A177" s="14"/>
      <c r="B177" s="1" t="str">
        <f>IF(B176&lt;Simulador!$F$47,B176+1,"")</f>
        <v/>
      </c>
      <c r="C177" s="18" t="str">
        <f>IF(B176&lt;Simulador!$F$47,H176,"")</f>
        <v/>
      </c>
      <c r="D177" s="17" t="str">
        <f>IF(Tabla1[[#This Row],[Periodo]]="","",IF(B177&lt;=Simulador!$F$47,PPMT(Simulador!$F$41+Simulador!$F$43,Cronograma!B177,Simulador!$F$47,-Simulador!$F$37),""))</f>
        <v/>
      </c>
      <c r="E177" s="19" t="str">
        <f>IF(B176&lt;Simulador!$F$47,(IPMT(Simulador!$F$41+Simulador!$F$43,Tabla1[[#This Row],[Periodo]],Simulador!$F$47,-Simulador!$F$37)-Tabla1[[#This Row],[Seguro Desgravamen]]),"")</f>
        <v/>
      </c>
      <c r="F177" s="19" t="str">
        <f>IF(B176&lt;Simulador!$F$47,C177*Simulador!$F$43,"")</f>
        <v/>
      </c>
      <c r="G177" s="18" t="str">
        <f>IF(B176&lt;Simulador!$F$47,Simulador!$F$45*Simulador!$F$12/12,"")</f>
        <v/>
      </c>
      <c r="H177" s="19" t="str">
        <f>IF(B176&lt;Simulador!$F$47,C177-D177,"")</f>
        <v/>
      </c>
      <c r="I177" s="19" t="str">
        <f>IF(B176&lt;Simulador!$F$47,PMT(Simulador!$F$41+Simulador!$F$43,Simulador!$F$47,-Simulador!$F$37)+G177,"")</f>
        <v/>
      </c>
    </row>
    <row r="178" spans="1:9" ht="17.100000000000001" customHeight="1" x14ac:dyDescent="0.25">
      <c r="A178" s="14"/>
      <c r="B178" s="1" t="str">
        <f>IF(B177&lt;Simulador!$F$47,B177+1,"")</f>
        <v/>
      </c>
      <c r="C178" s="18" t="str">
        <f>IF(B177&lt;Simulador!$F$47,H177,"")</f>
        <v/>
      </c>
      <c r="D178" s="17" t="str">
        <f>IF(Tabla1[[#This Row],[Periodo]]="","",IF(B178&lt;=Simulador!$F$47,PPMT(Simulador!$F$41+Simulador!$F$43,Cronograma!B178,Simulador!$F$47,-Simulador!$F$37),""))</f>
        <v/>
      </c>
      <c r="E178" s="19" t="str">
        <f>IF(B177&lt;Simulador!$F$47,(IPMT(Simulador!$F$41+Simulador!$F$43,Tabla1[[#This Row],[Periodo]],Simulador!$F$47,-Simulador!$F$37)-Tabla1[[#This Row],[Seguro Desgravamen]]),"")</f>
        <v/>
      </c>
      <c r="F178" s="19" t="str">
        <f>IF(B177&lt;Simulador!$F$47,C178*Simulador!$F$43,"")</f>
        <v/>
      </c>
      <c r="G178" s="18" t="str">
        <f>IF(B177&lt;Simulador!$F$47,Simulador!$F$45*Simulador!$F$12/12,"")</f>
        <v/>
      </c>
      <c r="H178" s="19" t="str">
        <f>IF(B177&lt;Simulador!$F$47,C178-D178,"")</f>
        <v/>
      </c>
      <c r="I178" s="19" t="str">
        <f>IF(B177&lt;Simulador!$F$47,PMT(Simulador!$F$41+Simulador!$F$43,Simulador!$F$47,-Simulador!$F$37)+G178,"")</f>
        <v/>
      </c>
    </row>
    <row r="179" spans="1:9" ht="17.100000000000001" customHeight="1" x14ac:dyDescent="0.25">
      <c r="A179" s="14"/>
      <c r="B179" s="1" t="str">
        <f>IF(B178&lt;Simulador!$F$47,B178+1,"")</f>
        <v/>
      </c>
      <c r="C179" s="18" t="str">
        <f>IF(B178&lt;Simulador!$F$47,H178,"")</f>
        <v/>
      </c>
      <c r="D179" s="17" t="str">
        <f>IF(Tabla1[[#This Row],[Periodo]]="","",IF(B179&lt;=Simulador!$F$47,PPMT(Simulador!$F$41+Simulador!$F$43,Cronograma!B179,Simulador!$F$47,-Simulador!$F$37),""))</f>
        <v/>
      </c>
      <c r="E179" s="19" t="str">
        <f>IF(B178&lt;Simulador!$F$47,(IPMT(Simulador!$F$41+Simulador!$F$43,Tabla1[[#This Row],[Periodo]],Simulador!$F$47,-Simulador!$F$37)-Tabla1[[#This Row],[Seguro Desgravamen]]),"")</f>
        <v/>
      </c>
      <c r="F179" s="19" t="str">
        <f>IF(B178&lt;Simulador!$F$47,C179*Simulador!$F$43,"")</f>
        <v/>
      </c>
      <c r="G179" s="18" t="str">
        <f>IF(B178&lt;Simulador!$F$47,Simulador!$F$45*Simulador!$F$12/12,"")</f>
        <v/>
      </c>
      <c r="H179" s="19" t="str">
        <f>IF(B178&lt;Simulador!$F$47,C179-D179,"")</f>
        <v/>
      </c>
      <c r="I179" s="19" t="str">
        <f>IF(B178&lt;Simulador!$F$47,PMT(Simulador!$F$41+Simulador!$F$43,Simulador!$F$47,-Simulador!$F$37)+G179,"")</f>
        <v/>
      </c>
    </row>
    <row r="180" spans="1:9" ht="17.100000000000001" customHeight="1" x14ac:dyDescent="0.25">
      <c r="A180" s="14"/>
      <c r="B180" s="1" t="str">
        <f>IF(B179&lt;Simulador!$F$47,B179+1,"")</f>
        <v/>
      </c>
      <c r="C180" s="18" t="str">
        <f>IF(B179&lt;Simulador!$F$47,H179,"")</f>
        <v/>
      </c>
      <c r="D180" s="17" t="str">
        <f>IF(Tabla1[[#This Row],[Periodo]]="","",IF(B180&lt;=Simulador!$F$47,PPMT(Simulador!$F$41+Simulador!$F$43,Cronograma!B180,Simulador!$F$47,-Simulador!$F$37),""))</f>
        <v/>
      </c>
      <c r="E180" s="19" t="str">
        <f>IF(B179&lt;Simulador!$F$47,(IPMT(Simulador!$F$41+Simulador!$F$43,Tabla1[[#This Row],[Periodo]],Simulador!$F$47,-Simulador!$F$37)-Tabla1[[#This Row],[Seguro Desgravamen]]),"")</f>
        <v/>
      </c>
      <c r="F180" s="19" t="str">
        <f>IF(B179&lt;Simulador!$F$47,C180*Simulador!$F$43,"")</f>
        <v/>
      </c>
      <c r="G180" s="18" t="str">
        <f>IF(B179&lt;Simulador!$F$47,Simulador!$F$45*Simulador!$F$12/12,"")</f>
        <v/>
      </c>
      <c r="H180" s="19" t="str">
        <f>IF(B179&lt;Simulador!$F$47,C180-D180,"")</f>
        <v/>
      </c>
      <c r="I180" s="19" t="str">
        <f>IF(B179&lt;Simulador!$F$47,PMT(Simulador!$F$41+Simulador!$F$43,Simulador!$F$47,-Simulador!$F$37)+G180,"")</f>
        <v/>
      </c>
    </row>
    <row r="181" spans="1:9" ht="17.100000000000001" customHeight="1" x14ac:dyDescent="0.25">
      <c r="A181" s="14"/>
      <c r="B181" s="1" t="str">
        <f>IF(B180&lt;Simulador!$F$47,B180+1,"")</f>
        <v/>
      </c>
      <c r="C181" s="18" t="str">
        <f>IF(B180&lt;Simulador!$F$47,H180,"")</f>
        <v/>
      </c>
      <c r="D181" s="17" t="str">
        <f>IF(Tabla1[[#This Row],[Periodo]]="","",IF(B181&lt;=Simulador!$F$47,PPMT(Simulador!$F$41+Simulador!$F$43,Cronograma!B181,Simulador!$F$47,-Simulador!$F$37),""))</f>
        <v/>
      </c>
      <c r="E181" s="19" t="str">
        <f>IF(B180&lt;Simulador!$F$47,(IPMT(Simulador!$F$41+Simulador!$F$43,Tabla1[[#This Row],[Periodo]],Simulador!$F$47,-Simulador!$F$37)-Tabla1[[#This Row],[Seguro Desgravamen]]),"")</f>
        <v/>
      </c>
      <c r="F181" s="19" t="str">
        <f>IF(B180&lt;Simulador!$F$47,C181*Simulador!$F$43,"")</f>
        <v/>
      </c>
      <c r="G181" s="18" t="str">
        <f>IF(B180&lt;Simulador!$F$47,Simulador!$F$45*Simulador!$F$12/12,"")</f>
        <v/>
      </c>
      <c r="H181" s="19" t="str">
        <f>IF(B180&lt;Simulador!$F$47,C181-D181,"")</f>
        <v/>
      </c>
      <c r="I181" s="19" t="str">
        <f>IF(B180&lt;Simulador!$F$47,PMT(Simulador!$F$41+Simulador!$F$43,Simulador!$F$47,-Simulador!$F$37)+G181,"")</f>
        <v/>
      </c>
    </row>
    <row r="182" spans="1:9" ht="17.100000000000001" customHeight="1" x14ac:dyDescent="0.25">
      <c r="A182" s="14"/>
      <c r="B182" s="1" t="str">
        <f>IF(B181&lt;Simulador!$F$47,B181+1,"")</f>
        <v/>
      </c>
      <c r="C182" s="18" t="str">
        <f>IF(B181&lt;Simulador!$F$47,H181,"")</f>
        <v/>
      </c>
      <c r="D182" s="17" t="str">
        <f>IF(Tabla1[[#This Row],[Periodo]]="","",IF(B182&lt;=Simulador!$F$47,PPMT(Simulador!$F$41+Simulador!$F$43,Cronograma!B182,Simulador!$F$47,-Simulador!$F$37),""))</f>
        <v/>
      </c>
      <c r="E182" s="19" t="str">
        <f>IF(B181&lt;Simulador!$F$47,(IPMT(Simulador!$F$41+Simulador!$F$43,Tabla1[[#This Row],[Periodo]],Simulador!$F$47,-Simulador!$F$37)-Tabla1[[#This Row],[Seguro Desgravamen]]),"")</f>
        <v/>
      </c>
      <c r="F182" s="19" t="str">
        <f>IF(B181&lt;Simulador!$F$47,C182*Simulador!$F$43,"")</f>
        <v/>
      </c>
      <c r="G182" s="18" t="str">
        <f>IF(B181&lt;Simulador!$F$47,Simulador!$F$45*Simulador!$F$12/12,"")</f>
        <v/>
      </c>
      <c r="H182" s="19" t="str">
        <f>IF(B181&lt;Simulador!$F$47,C182-D182,"")</f>
        <v/>
      </c>
      <c r="I182" s="19" t="str">
        <f>IF(B181&lt;Simulador!$F$47,PMT(Simulador!$F$41+Simulador!$F$43,Simulador!$F$47,-Simulador!$F$37)+G182,"")</f>
        <v/>
      </c>
    </row>
    <row r="183" spans="1:9" ht="17.100000000000001" customHeight="1" x14ac:dyDescent="0.25">
      <c r="A183" s="14"/>
      <c r="B183" s="1" t="str">
        <f>IF(B182&lt;Simulador!$F$47,B182+1,"")</f>
        <v/>
      </c>
      <c r="C183" s="18" t="str">
        <f>IF(B182&lt;Simulador!$F$47,H182,"")</f>
        <v/>
      </c>
      <c r="D183" s="17" t="str">
        <f>IF(Tabla1[[#This Row],[Periodo]]="","",IF(B183&lt;=Simulador!$F$47,PPMT(Simulador!$F$41+Simulador!$F$43,Cronograma!B183,Simulador!$F$47,-Simulador!$F$37),""))</f>
        <v/>
      </c>
      <c r="E183" s="19" t="str">
        <f>IF(B182&lt;Simulador!$F$47,(IPMT(Simulador!$F$41+Simulador!$F$43,Tabla1[[#This Row],[Periodo]],Simulador!$F$47,-Simulador!$F$37)-Tabla1[[#This Row],[Seguro Desgravamen]]),"")</f>
        <v/>
      </c>
      <c r="F183" s="19" t="str">
        <f>IF(B182&lt;Simulador!$F$47,C183*Simulador!$F$43,"")</f>
        <v/>
      </c>
      <c r="G183" s="18" t="str">
        <f>IF(B182&lt;Simulador!$F$47,Simulador!$F$45*Simulador!$F$12/12,"")</f>
        <v/>
      </c>
      <c r="H183" s="19" t="str">
        <f>IF(B182&lt;Simulador!$F$47,C183-D183,"")</f>
        <v/>
      </c>
      <c r="I183" s="19" t="str">
        <f>IF(B182&lt;Simulador!$F$47,PMT(Simulador!$F$41+Simulador!$F$43,Simulador!$F$47,-Simulador!$F$37)+G183,"")</f>
        <v/>
      </c>
    </row>
    <row r="184" spans="1:9" ht="17.100000000000001" customHeight="1" x14ac:dyDescent="0.25">
      <c r="A184" s="14"/>
      <c r="B184" s="1" t="str">
        <f>IF(B183&lt;Simulador!$F$47,B183+1,"")</f>
        <v/>
      </c>
      <c r="C184" s="18" t="str">
        <f>IF(B183&lt;Simulador!$F$47,H183,"")</f>
        <v/>
      </c>
      <c r="D184" s="17" t="str">
        <f>IF(Tabla1[[#This Row],[Periodo]]="","",IF(B184&lt;=Simulador!$F$47,PPMT(Simulador!$F$41+Simulador!$F$43,Cronograma!B184,Simulador!$F$47,-Simulador!$F$37),""))</f>
        <v/>
      </c>
      <c r="E184" s="19" t="str">
        <f>IF(B183&lt;Simulador!$F$47,(IPMT(Simulador!$F$41+Simulador!$F$43,Tabla1[[#This Row],[Periodo]],Simulador!$F$47,-Simulador!$F$37)-Tabla1[[#This Row],[Seguro Desgravamen]]),"")</f>
        <v/>
      </c>
      <c r="F184" s="19" t="str">
        <f>IF(B183&lt;Simulador!$F$47,C184*Simulador!$F$43,"")</f>
        <v/>
      </c>
      <c r="G184" s="18" t="str">
        <f>IF(B183&lt;Simulador!$F$47,Simulador!$F$45*Simulador!$F$12/12,"")</f>
        <v/>
      </c>
      <c r="H184" s="19" t="str">
        <f>IF(B183&lt;Simulador!$F$47,C184-D184,"")</f>
        <v/>
      </c>
      <c r="I184" s="19" t="str">
        <f>IF(B183&lt;Simulador!$F$47,PMT(Simulador!$F$41+Simulador!$F$43,Simulador!$F$47,-Simulador!$F$37)+G184,"")</f>
        <v/>
      </c>
    </row>
    <row r="185" spans="1:9" ht="17.100000000000001" customHeight="1" x14ac:dyDescent="0.25">
      <c r="A185" s="14"/>
      <c r="B185" s="1" t="str">
        <f>IF(B184&lt;Simulador!$F$47,B184+1,"")</f>
        <v/>
      </c>
      <c r="C185" s="18" t="str">
        <f>IF(B184&lt;Simulador!$F$47,H184,"")</f>
        <v/>
      </c>
      <c r="D185" s="17" t="str">
        <f>IF(Tabla1[[#This Row],[Periodo]]="","",IF(B185&lt;=Simulador!$F$47,PPMT(Simulador!$F$41+Simulador!$F$43,Cronograma!B185,Simulador!$F$47,-Simulador!$F$37),""))</f>
        <v/>
      </c>
      <c r="E185" s="19" t="str">
        <f>IF(B184&lt;Simulador!$F$47,(IPMT(Simulador!$F$41+Simulador!$F$43,Tabla1[[#This Row],[Periodo]],Simulador!$F$47,-Simulador!$F$37)-Tabla1[[#This Row],[Seguro Desgravamen]]),"")</f>
        <v/>
      </c>
      <c r="F185" s="19" t="str">
        <f>IF(B184&lt;Simulador!$F$47,C185*Simulador!$F$43,"")</f>
        <v/>
      </c>
      <c r="G185" s="18" t="str">
        <f>IF(B184&lt;Simulador!$F$47,Simulador!$F$45*Simulador!$F$12/12,"")</f>
        <v/>
      </c>
      <c r="H185" s="19" t="str">
        <f>IF(B184&lt;Simulador!$F$47,C185-D185,"")</f>
        <v/>
      </c>
      <c r="I185" s="19" t="str">
        <f>IF(B184&lt;Simulador!$F$47,PMT(Simulador!$F$41+Simulador!$F$43,Simulador!$F$47,-Simulador!$F$37)+G185,"")</f>
        <v/>
      </c>
    </row>
    <row r="186" spans="1:9" ht="17.100000000000001" customHeight="1" x14ac:dyDescent="0.25">
      <c r="A186" s="14"/>
      <c r="B186" s="1" t="str">
        <f>IF(B185&lt;Simulador!$F$47,B185+1,"")</f>
        <v/>
      </c>
      <c r="C186" s="18" t="str">
        <f>IF(B185&lt;Simulador!$F$47,H185,"")</f>
        <v/>
      </c>
      <c r="D186" s="17" t="str">
        <f>IF(Tabla1[[#This Row],[Periodo]]="","",IF(B186&lt;=Simulador!$F$47,PPMT(Simulador!$F$41+Simulador!$F$43,Cronograma!B186,Simulador!$F$47,-Simulador!$F$37),""))</f>
        <v/>
      </c>
      <c r="E186" s="19" t="str">
        <f>IF(B185&lt;Simulador!$F$47,(IPMT(Simulador!$F$41+Simulador!$F$43,Tabla1[[#This Row],[Periodo]],Simulador!$F$47,-Simulador!$F$37)-Tabla1[[#This Row],[Seguro Desgravamen]]),"")</f>
        <v/>
      </c>
      <c r="F186" s="19" t="str">
        <f>IF(B185&lt;Simulador!$F$47,C186*Simulador!$F$43,"")</f>
        <v/>
      </c>
      <c r="G186" s="18" t="str">
        <f>IF(B185&lt;Simulador!$F$47,Simulador!$F$45*Simulador!$F$12/12,"")</f>
        <v/>
      </c>
      <c r="H186" s="19" t="str">
        <f>IF(B185&lt;Simulador!$F$47,C186-D186,"")</f>
        <v/>
      </c>
      <c r="I186" s="19" t="str">
        <f>IF(B185&lt;Simulador!$F$47,PMT(Simulador!$F$41+Simulador!$F$43,Simulador!$F$47,-Simulador!$F$37)+G186,"")</f>
        <v/>
      </c>
    </row>
    <row r="187" spans="1:9" ht="17.100000000000001" customHeight="1" x14ac:dyDescent="0.25">
      <c r="A187" s="14"/>
      <c r="B187" s="1" t="str">
        <f>IF(B186&lt;Simulador!$F$47,B186+1,"")</f>
        <v/>
      </c>
      <c r="C187" s="18" t="str">
        <f>IF(B186&lt;Simulador!$F$47,H186,"")</f>
        <v/>
      </c>
      <c r="D187" s="17" t="str">
        <f>IF(Tabla1[[#This Row],[Periodo]]="","",IF(B187&lt;=Simulador!$F$47,PPMT(Simulador!$F$41+Simulador!$F$43,Cronograma!B187,Simulador!$F$47,-Simulador!$F$37),""))</f>
        <v/>
      </c>
      <c r="E187" s="19" t="str">
        <f>IF(B186&lt;Simulador!$F$47,(IPMT(Simulador!$F$41+Simulador!$F$43,Tabla1[[#This Row],[Periodo]],Simulador!$F$47,-Simulador!$F$37)-Tabla1[[#This Row],[Seguro Desgravamen]]),"")</f>
        <v/>
      </c>
      <c r="F187" s="19" t="str">
        <f>IF(B186&lt;Simulador!$F$47,C187*Simulador!$F$43,"")</f>
        <v/>
      </c>
      <c r="G187" s="18" t="str">
        <f>IF(B186&lt;Simulador!$F$47,Simulador!$F$45*Simulador!$F$12/12,"")</f>
        <v/>
      </c>
      <c r="H187" s="19" t="str">
        <f>IF(B186&lt;Simulador!$F$47,C187-D187,"")</f>
        <v/>
      </c>
      <c r="I187" s="19" t="str">
        <f>IF(B186&lt;Simulador!$F$47,PMT(Simulador!$F$41+Simulador!$F$43,Simulador!$F$47,-Simulador!$F$37)+G187,"")</f>
        <v/>
      </c>
    </row>
    <row r="188" spans="1:9" ht="17.100000000000001" customHeight="1" x14ac:dyDescent="0.25">
      <c r="A188" s="14"/>
      <c r="B188" s="1" t="str">
        <f>IF(B187&lt;Simulador!$F$47,B187+1,"")</f>
        <v/>
      </c>
      <c r="C188" s="18" t="str">
        <f>IF(B187&lt;Simulador!$F$47,H187,"")</f>
        <v/>
      </c>
      <c r="D188" s="17" t="str">
        <f>IF(Tabla1[[#This Row],[Periodo]]="","",IF(B188&lt;=Simulador!$F$47,PPMT(Simulador!$F$41+Simulador!$F$43,Cronograma!B188,Simulador!$F$47,-Simulador!$F$37),""))</f>
        <v/>
      </c>
      <c r="E188" s="19" t="str">
        <f>IF(B187&lt;Simulador!$F$47,(IPMT(Simulador!$F$41+Simulador!$F$43,Tabla1[[#This Row],[Periodo]],Simulador!$F$47,-Simulador!$F$37)-Tabla1[[#This Row],[Seguro Desgravamen]]),"")</f>
        <v/>
      </c>
      <c r="F188" s="19" t="str">
        <f>IF(B187&lt;Simulador!$F$47,C188*Simulador!$F$43,"")</f>
        <v/>
      </c>
      <c r="G188" s="18" t="str">
        <f>IF(B187&lt;Simulador!$F$47,Simulador!$F$45*Simulador!$F$12/12,"")</f>
        <v/>
      </c>
      <c r="H188" s="19" t="str">
        <f>IF(B187&lt;Simulador!$F$47,C188-D188,"")</f>
        <v/>
      </c>
      <c r="I188" s="19" t="str">
        <f>IF(B187&lt;Simulador!$F$47,PMT(Simulador!$F$41+Simulador!$F$43,Simulador!$F$47,-Simulador!$F$37)+G188,"")</f>
        <v/>
      </c>
    </row>
    <row r="189" spans="1:9" ht="17.100000000000001" customHeight="1" x14ac:dyDescent="0.25">
      <c r="A189" s="14"/>
      <c r="B189" s="1" t="str">
        <f>IF(B188&lt;Simulador!$F$47,B188+1,"")</f>
        <v/>
      </c>
      <c r="C189" s="18" t="str">
        <f>IF(B188&lt;Simulador!$F$47,H188,"")</f>
        <v/>
      </c>
      <c r="D189" s="17" t="str">
        <f>IF(Tabla1[[#This Row],[Periodo]]="","",IF(B189&lt;=Simulador!$F$47,PPMT(Simulador!$F$41+Simulador!$F$43,Cronograma!B189,Simulador!$F$47,-Simulador!$F$37),""))</f>
        <v/>
      </c>
      <c r="E189" s="19" t="str">
        <f>IF(B188&lt;Simulador!$F$47,(IPMT(Simulador!$F$41+Simulador!$F$43,Tabla1[[#This Row],[Periodo]],Simulador!$F$47,-Simulador!$F$37)-Tabla1[[#This Row],[Seguro Desgravamen]]),"")</f>
        <v/>
      </c>
      <c r="F189" s="19" t="str">
        <f>IF(B188&lt;Simulador!$F$47,C189*Simulador!$F$43,"")</f>
        <v/>
      </c>
      <c r="G189" s="18" t="str">
        <f>IF(B188&lt;Simulador!$F$47,Simulador!$F$45*Simulador!$F$12/12,"")</f>
        <v/>
      </c>
      <c r="H189" s="19" t="str">
        <f>IF(B188&lt;Simulador!$F$47,C189-D189,"")</f>
        <v/>
      </c>
      <c r="I189" s="19" t="str">
        <f>IF(B188&lt;Simulador!$F$47,PMT(Simulador!$F$41+Simulador!$F$43,Simulador!$F$47,-Simulador!$F$37)+G189,"")</f>
        <v/>
      </c>
    </row>
    <row r="190" spans="1:9" ht="17.100000000000001" customHeight="1" x14ac:dyDescent="0.25">
      <c r="A190" s="14"/>
      <c r="B190" s="1" t="str">
        <f>IF(B189&lt;Simulador!$F$47,B189+1,"")</f>
        <v/>
      </c>
      <c r="C190" s="18" t="str">
        <f>IF(B189&lt;Simulador!$F$47,H189,"")</f>
        <v/>
      </c>
      <c r="D190" s="17" t="str">
        <f>IF(Tabla1[[#This Row],[Periodo]]="","",IF(B190&lt;=Simulador!$F$47,PPMT(Simulador!$F$41+Simulador!$F$43,Cronograma!B190,Simulador!$F$47,-Simulador!$F$37),""))</f>
        <v/>
      </c>
      <c r="E190" s="19" t="str">
        <f>IF(B189&lt;Simulador!$F$47,(IPMT(Simulador!$F$41+Simulador!$F$43,Tabla1[[#This Row],[Periodo]],Simulador!$F$47,-Simulador!$F$37)-Tabla1[[#This Row],[Seguro Desgravamen]]),"")</f>
        <v/>
      </c>
      <c r="F190" s="19" t="str">
        <f>IF(B189&lt;Simulador!$F$47,C190*Simulador!$F$43,"")</f>
        <v/>
      </c>
      <c r="G190" s="18" t="str">
        <f>IF(B189&lt;Simulador!$F$47,Simulador!$F$45*Simulador!$F$12/12,"")</f>
        <v/>
      </c>
      <c r="H190" s="19" t="str">
        <f>IF(B189&lt;Simulador!$F$47,C190-D190,"")</f>
        <v/>
      </c>
      <c r="I190" s="19" t="str">
        <f>IF(B189&lt;Simulador!$F$47,PMT(Simulador!$F$41+Simulador!$F$43,Simulador!$F$47,-Simulador!$F$37)+G190,"")</f>
        <v/>
      </c>
    </row>
    <row r="191" spans="1:9" ht="17.100000000000001" customHeight="1" x14ac:dyDescent="0.25">
      <c r="A191" s="14"/>
      <c r="B191" s="1" t="str">
        <f>IF(B190&lt;Simulador!$F$47,B190+1,"")</f>
        <v/>
      </c>
      <c r="C191" s="18" t="str">
        <f>IF(B190&lt;Simulador!$F$47,H190,"")</f>
        <v/>
      </c>
      <c r="D191" s="17" t="str">
        <f>IF(Tabla1[[#This Row],[Periodo]]="","",IF(B191&lt;=Simulador!$F$47,PPMT(Simulador!$F$41+Simulador!$F$43,Cronograma!B191,Simulador!$F$47,-Simulador!$F$37),""))</f>
        <v/>
      </c>
      <c r="E191" s="19" t="str">
        <f>IF(B190&lt;Simulador!$F$47,(IPMT(Simulador!$F$41+Simulador!$F$43,Tabla1[[#This Row],[Periodo]],Simulador!$F$47,-Simulador!$F$37)-Tabla1[[#This Row],[Seguro Desgravamen]]),"")</f>
        <v/>
      </c>
      <c r="F191" s="19" t="str">
        <f>IF(B190&lt;Simulador!$F$47,C191*Simulador!$F$43,"")</f>
        <v/>
      </c>
      <c r="G191" s="18" t="str">
        <f>IF(B190&lt;Simulador!$F$47,Simulador!$F$45*Simulador!$F$12/12,"")</f>
        <v/>
      </c>
      <c r="H191" s="19" t="str">
        <f>IF(B190&lt;Simulador!$F$47,C191-D191,"")</f>
        <v/>
      </c>
      <c r="I191" s="19" t="str">
        <f>IF(B190&lt;Simulador!$F$47,PMT(Simulador!$F$41+Simulador!$F$43,Simulador!$F$47,-Simulador!$F$37)+G191,"")</f>
        <v/>
      </c>
    </row>
    <row r="192" spans="1:9" ht="17.100000000000001" customHeight="1" x14ac:dyDescent="0.25">
      <c r="A192" s="14"/>
      <c r="B192" s="1" t="str">
        <f>IF(B191&lt;Simulador!$F$47,B191+1,"")</f>
        <v/>
      </c>
      <c r="C192" s="18" t="str">
        <f>IF(B191&lt;Simulador!$F$47,H191,"")</f>
        <v/>
      </c>
      <c r="D192" s="17" t="str">
        <f>IF(Tabla1[[#This Row],[Periodo]]="","",IF(B192&lt;=Simulador!$F$47,PPMT(Simulador!$F$41+Simulador!$F$43,Cronograma!B192,Simulador!$F$47,-Simulador!$F$37),""))</f>
        <v/>
      </c>
      <c r="E192" s="19" t="str">
        <f>IF(B191&lt;Simulador!$F$47,(IPMT(Simulador!$F$41+Simulador!$F$43,Tabla1[[#This Row],[Periodo]],Simulador!$F$47,-Simulador!$F$37)-Tabla1[[#This Row],[Seguro Desgravamen]]),"")</f>
        <v/>
      </c>
      <c r="F192" s="19" t="str">
        <f>IF(B191&lt;Simulador!$F$47,C192*Simulador!$F$43,"")</f>
        <v/>
      </c>
      <c r="G192" s="18" t="str">
        <f>IF(B191&lt;Simulador!$F$47,Simulador!$F$45*Simulador!$F$12/12,"")</f>
        <v/>
      </c>
      <c r="H192" s="19" t="str">
        <f>IF(B191&lt;Simulador!$F$47,C192-D192,"")</f>
        <v/>
      </c>
      <c r="I192" s="19" t="str">
        <f>IF(B191&lt;Simulador!$F$47,PMT(Simulador!$F$41+Simulador!$F$43,Simulador!$F$47,-Simulador!$F$37)+G192,"")</f>
        <v/>
      </c>
    </row>
    <row r="193" spans="1:9" ht="17.100000000000001" customHeight="1" x14ac:dyDescent="0.25">
      <c r="A193" s="14"/>
      <c r="B193" s="1" t="str">
        <f>IF(B192&lt;Simulador!$F$47,B192+1,"")</f>
        <v/>
      </c>
      <c r="C193" s="18" t="str">
        <f>IF(B192&lt;Simulador!$F$47,H192,"")</f>
        <v/>
      </c>
      <c r="D193" s="17" t="str">
        <f>IF(Tabla1[[#This Row],[Periodo]]="","",IF(B193&lt;=Simulador!$F$47,PPMT(Simulador!$F$41+Simulador!$F$43,Cronograma!B193,Simulador!$F$47,-Simulador!$F$37),""))</f>
        <v/>
      </c>
      <c r="E193" s="19" t="str">
        <f>IF(B192&lt;Simulador!$F$47,(IPMT(Simulador!$F$41+Simulador!$F$43,Tabla1[[#This Row],[Periodo]],Simulador!$F$47,-Simulador!$F$37)-Tabla1[[#This Row],[Seguro Desgravamen]]),"")</f>
        <v/>
      </c>
      <c r="F193" s="19" t="str">
        <f>IF(B192&lt;Simulador!$F$47,C193*Simulador!$F$43,"")</f>
        <v/>
      </c>
      <c r="G193" s="18" t="str">
        <f>IF(B192&lt;Simulador!$F$47,Simulador!$F$45*Simulador!$F$12/12,"")</f>
        <v/>
      </c>
      <c r="H193" s="19" t="str">
        <f>IF(B192&lt;Simulador!$F$47,C193-D193,"")</f>
        <v/>
      </c>
      <c r="I193" s="19" t="str">
        <f>IF(B192&lt;Simulador!$F$47,PMT(Simulador!$F$41+Simulador!$F$43,Simulador!$F$47,-Simulador!$F$37)+G193,"")</f>
        <v/>
      </c>
    </row>
    <row r="194" spans="1:9" ht="17.100000000000001" customHeight="1" x14ac:dyDescent="0.25">
      <c r="A194" s="14"/>
      <c r="B194" s="1" t="str">
        <f>IF(B193&lt;Simulador!$F$47,B193+1,"")</f>
        <v/>
      </c>
      <c r="C194" s="18" t="str">
        <f>IF(B193&lt;Simulador!$F$47,H193,"")</f>
        <v/>
      </c>
      <c r="D194" s="17" t="str">
        <f>IF(Tabla1[[#This Row],[Periodo]]="","",IF(B194&lt;=Simulador!$F$47,PPMT(Simulador!$F$41+Simulador!$F$43,Cronograma!B194,Simulador!$F$47,-Simulador!$F$37),""))</f>
        <v/>
      </c>
      <c r="E194" s="19" t="str">
        <f>IF(B193&lt;Simulador!$F$47,(IPMT(Simulador!$F$41+Simulador!$F$43,Tabla1[[#This Row],[Periodo]],Simulador!$F$47,-Simulador!$F$37)-Tabla1[[#This Row],[Seguro Desgravamen]]),"")</f>
        <v/>
      </c>
      <c r="F194" s="19" t="str">
        <f>IF(B193&lt;Simulador!$F$47,C194*Simulador!$F$43,"")</f>
        <v/>
      </c>
      <c r="G194" s="18" t="str">
        <f>IF(B193&lt;Simulador!$F$47,Simulador!$F$45*Simulador!$F$12/12,"")</f>
        <v/>
      </c>
      <c r="H194" s="19" t="str">
        <f>IF(B193&lt;Simulador!$F$47,C194-D194,"")</f>
        <v/>
      </c>
      <c r="I194" s="19" t="str">
        <f>IF(B193&lt;Simulador!$F$47,PMT(Simulador!$F$41+Simulador!$F$43,Simulador!$F$47,-Simulador!$F$37)+G194,"")</f>
        <v/>
      </c>
    </row>
    <row r="195" spans="1:9" ht="17.100000000000001" customHeight="1" x14ac:dyDescent="0.25">
      <c r="A195" s="14"/>
      <c r="B195" s="1" t="str">
        <f>IF(B194&lt;Simulador!$F$47,B194+1,"")</f>
        <v/>
      </c>
      <c r="C195" s="18" t="str">
        <f>IF(B194&lt;Simulador!$F$47,H194,"")</f>
        <v/>
      </c>
      <c r="D195" s="17" t="str">
        <f>IF(Tabla1[[#This Row],[Periodo]]="","",IF(B195&lt;=Simulador!$F$47,PPMT(Simulador!$F$41+Simulador!$F$43,Cronograma!B195,Simulador!$F$47,-Simulador!$F$37),""))</f>
        <v/>
      </c>
      <c r="E195" s="19" t="str">
        <f>IF(B194&lt;Simulador!$F$47,(IPMT(Simulador!$F$41+Simulador!$F$43,Tabla1[[#This Row],[Periodo]],Simulador!$F$47,-Simulador!$F$37)-Tabla1[[#This Row],[Seguro Desgravamen]]),"")</f>
        <v/>
      </c>
      <c r="F195" s="19" t="str">
        <f>IF(B194&lt;Simulador!$F$47,C195*Simulador!$F$43,"")</f>
        <v/>
      </c>
      <c r="G195" s="18" t="str">
        <f>IF(B194&lt;Simulador!$F$47,Simulador!$F$45*Simulador!$F$12/12,"")</f>
        <v/>
      </c>
      <c r="H195" s="19" t="str">
        <f>IF(B194&lt;Simulador!$F$47,C195-D195,"")</f>
        <v/>
      </c>
      <c r="I195" s="19" t="str">
        <f>IF(B194&lt;Simulador!$F$47,PMT(Simulador!$F$41+Simulador!$F$43,Simulador!$F$47,-Simulador!$F$37)+G195,"")</f>
        <v/>
      </c>
    </row>
    <row r="196" spans="1:9" ht="17.100000000000001" customHeight="1" x14ac:dyDescent="0.25">
      <c r="A196" s="14"/>
      <c r="B196" s="1" t="str">
        <f>IF(B195&lt;Simulador!$F$47,B195+1,"")</f>
        <v/>
      </c>
      <c r="C196" s="18" t="str">
        <f>IF(B195&lt;Simulador!$F$47,H195,"")</f>
        <v/>
      </c>
      <c r="D196" s="17" t="str">
        <f>IF(Tabla1[[#This Row],[Periodo]]="","",IF(B196&lt;=Simulador!$F$47,PPMT(Simulador!$F$41+Simulador!$F$43,Cronograma!B196,Simulador!$F$47,-Simulador!$F$37),""))</f>
        <v/>
      </c>
      <c r="E196" s="19" t="str">
        <f>IF(B195&lt;Simulador!$F$47,(IPMT(Simulador!$F$41+Simulador!$F$43,Tabla1[[#This Row],[Periodo]],Simulador!$F$47,-Simulador!$F$37)-Tabla1[[#This Row],[Seguro Desgravamen]]),"")</f>
        <v/>
      </c>
      <c r="F196" s="19" t="str">
        <f>IF(B195&lt;Simulador!$F$47,C196*Simulador!$F$43,"")</f>
        <v/>
      </c>
      <c r="G196" s="18" t="str">
        <f>IF(B195&lt;Simulador!$F$47,Simulador!$F$45*Simulador!$F$12/12,"")</f>
        <v/>
      </c>
      <c r="H196" s="19" t="str">
        <f>IF(B195&lt;Simulador!$F$47,C196-D196,"")</f>
        <v/>
      </c>
      <c r="I196" s="19" t="str">
        <f>IF(B195&lt;Simulador!$F$47,PMT(Simulador!$F$41+Simulador!$F$43,Simulador!$F$47,-Simulador!$F$37)+G196,"")</f>
        <v/>
      </c>
    </row>
    <row r="197" spans="1:9" ht="17.100000000000001" customHeight="1" x14ac:dyDescent="0.25">
      <c r="A197" s="14"/>
      <c r="B197" s="1" t="str">
        <f>IF(B196&lt;Simulador!$F$47,B196+1,"")</f>
        <v/>
      </c>
      <c r="C197" s="18" t="str">
        <f>IF(B196&lt;Simulador!$F$47,H196,"")</f>
        <v/>
      </c>
      <c r="D197" s="17" t="str">
        <f>IF(Tabla1[[#This Row],[Periodo]]="","",IF(B197&lt;=Simulador!$F$47,PPMT(Simulador!$F$41+Simulador!$F$43,Cronograma!B197,Simulador!$F$47,-Simulador!$F$37),""))</f>
        <v/>
      </c>
      <c r="E197" s="19" t="str">
        <f>IF(B196&lt;Simulador!$F$47,(IPMT(Simulador!$F$41+Simulador!$F$43,Tabla1[[#This Row],[Periodo]],Simulador!$F$47,-Simulador!$F$37)-Tabla1[[#This Row],[Seguro Desgravamen]]),"")</f>
        <v/>
      </c>
      <c r="F197" s="19" t="str">
        <f>IF(B196&lt;Simulador!$F$47,C197*Simulador!$F$43,"")</f>
        <v/>
      </c>
      <c r="G197" s="18" t="str">
        <f>IF(B196&lt;Simulador!$F$47,Simulador!$F$45*Simulador!$F$12/12,"")</f>
        <v/>
      </c>
      <c r="H197" s="19" t="str">
        <f>IF(B196&lt;Simulador!$F$47,C197-D197,"")</f>
        <v/>
      </c>
      <c r="I197" s="19" t="str">
        <f>IF(B196&lt;Simulador!$F$47,PMT(Simulador!$F$41+Simulador!$F$43,Simulador!$F$47,-Simulador!$F$37)+G197,"")</f>
        <v/>
      </c>
    </row>
    <row r="198" spans="1:9" ht="17.100000000000001" customHeight="1" x14ac:dyDescent="0.25">
      <c r="A198" s="14"/>
      <c r="B198" s="1" t="str">
        <f>IF(B197&lt;Simulador!$F$47,B197+1,"")</f>
        <v/>
      </c>
      <c r="C198" s="18" t="str">
        <f>IF(B197&lt;Simulador!$F$47,H197,"")</f>
        <v/>
      </c>
      <c r="D198" s="17" t="str">
        <f>IF(Tabla1[[#This Row],[Periodo]]="","",IF(B198&lt;=Simulador!$F$47,PPMT(Simulador!$F$41+Simulador!$F$43,Cronograma!B198,Simulador!$F$47,-Simulador!$F$37),""))</f>
        <v/>
      </c>
      <c r="E198" s="19" t="str">
        <f>IF(B197&lt;Simulador!$F$47,(IPMT(Simulador!$F$41+Simulador!$F$43,Tabla1[[#This Row],[Periodo]],Simulador!$F$47,-Simulador!$F$37)-Tabla1[[#This Row],[Seguro Desgravamen]]),"")</f>
        <v/>
      </c>
      <c r="F198" s="19" t="str">
        <f>IF(B197&lt;Simulador!$F$47,C198*Simulador!$F$43,"")</f>
        <v/>
      </c>
      <c r="G198" s="18" t="str">
        <f>IF(B197&lt;Simulador!$F$47,Simulador!$F$45*Simulador!$F$12/12,"")</f>
        <v/>
      </c>
      <c r="H198" s="19" t="str">
        <f>IF(B197&lt;Simulador!$F$47,C198-D198,"")</f>
        <v/>
      </c>
      <c r="I198" s="19" t="str">
        <f>IF(B197&lt;Simulador!$F$47,PMT(Simulador!$F$41+Simulador!$F$43,Simulador!$F$47,-Simulador!$F$37)+G198,"")</f>
        <v/>
      </c>
    </row>
    <row r="199" spans="1:9" ht="17.100000000000001" customHeight="1" x14ac:dyDescent="0.25">
      <c r="A199" s="14"/>
      <c r="B199" s="1" t="str">
        <f>IF(B198&lt;Simulador!$F$47,B198+1,"")</f>
        <v/>
      </c>
      <c r="C199" s="18" t="str">
        <f>IF(B198&lt;Simulador!$F$47,H198,"")</f>
        <v/>
      </c>
      <c r="D199" s="17" t="str">
        <f>IF(Tabla1[[#This Row],[Periodo]]="","",IF(B199&lt;=Simulador!$F$47,PPMT(Simulador!$F$41+Simulador!$F$43,Cronograma!B199,Simulador!$F$47,-Simulador!$F$37),""))</f>
        <v/>
      </c>
      <c r="E199" s="19" t="str">
        <f>IF(B198&lt;Simulador!$F$47,(IPMT(Simulador!$F$41+Simulador!$F$43,Tabla1[[#This Row],[Periodo]],Simulador!$F$47,-Simulador!$F$37)-Tabla1[[#This Row],[Seguro Desgravamen]]),"")</f>
        <v/>
      </c>
      <c r="F199" s="19" t="str">
        <f>IF(B198&lt;Simulador!$F$47,C199*Simulador!$F$43,"")</f>
        <v/>
      </c>
      <c r="G199" s="18" t="str">
        <f>IF(B198&lt;Simulador!$F$47,Simulador!$F$45*Simulador!$F$12/12,"")</f>
        <v/>
      </c>
      <c r="H199" s="19" t="str">
        <f>IF(B198&lt;Simulador!$F$47,C199-D199,"")</f>
        <v/>
      </c>
      <c r="I199" s="19" t="str">
        <f>IF(B198&lt;Simulador!$F$47,PMT(Simulador!$F$41+Simulador!$F$43,Simulador!$F$47,-Simulador!$F$37)+G199,"")</f>
        <v/>
      </c>
    </row>
    <row r="200" spans="1:9" ht="17.100000000000001" customHeight="1" x14ac:dyDescent="0.25">
      <c r="A200" s="14"/>
      <c r="B200" s="1" t="str">
        <f>IF(B199&lt;Simulador!$F$47,B199+1,"")</f>
        <v/>
      </c>
      <c r="C200" s="18" t="str">
        <f>IF(B199&lt;Simulador!$F$47,H199,"")</f>
        <v/>
      </c>
      <c r="D200" s="17" t="str">
        <f>IF(Tabla1[[#This Row],[Periodo]]="","",IF(B200&lt;=Simulador!$F$47,PPMT(Simulador!$F$41+Simulador!$F$43,Cronograma!B200,Simulador!$F$47,-Simulador!$F$37),""))</f>
        <v/>
      </c>
      <c r="E200" s="19" t="str">
        <f>IF(B199&lt;Simulador!$F$47,(IPMT(Simulador!$F$41+Simulador!$F$43,Tabla1[[#This Row],[Periodo]],Simulador!$F$47,-Simulador!$F$37)-Tabla1[[#This Row],[Seguro Desgravamen]]),"")</f>
        <v/>
      </c>
      <c r="F200" s="19" t="str">
        <f>IF(B199&lt;Simulador!$F$47,C200*Simulador!$F$43,"")</f>
        <v/>
      </c>
      <c r="G200" s="18" t="str">
        <f>IF(B199&lt;Simulador!$F$47,Simulador!$F$45*Simulador!$F$12/12,"")</f>
        <v/>
      </c>
      <c r="H200" s="19" t="str">
        <f>IF(B199&lt;Simulador!$F$47,C200-D200,"")</f>
        <v/>
      </c>
      <c r="I200" s="19" t="str">
        <f>IF(B199&lt;Simulador!$F$47,PMT(Simulador!$F$41+Simulador!$F$43,Simulador!$F$47,-Simulador!$F$37)+G200,"")</f>
        <v/>
      </c>
    </row>
    <row r="201" spans="1:9" ht="17.100000000000001" customHeight="1" x14ac:dyDescent="0.25">
      <c r="A201" s="14"/>
      <c r="B201" s="1" t="str">
        <f>IF(B200&lt;Simulador!$F$47,B200+1,"")</f>
        <v/>
      </c>
      <c r="C201" s="18" t="str">
        <f>IF(B200&lt;Simulador!$F$47,H200,"")</f>
        <v/>
      </c>
      <c r="D201" s="17" t="str">
        <f>IF(Tabla1[[#This Row],[Periodo]]="","",IF(B201&lt;=Simulador!$F$47,PPMT(Simulador!$F$41+Simulador!$F$43,Cronograma!B201,Simulador!$F$47,-Simulador!$F$37),""))</f>
        <v/>
      </c>
      <c r="E201" s="19" t="str">
        <f>IF(B200&lt;Simulador!$F$47,(IPMT(Simulador!$F$41+Simulador!$F$43,Tabla1[[#This Row],[Periodo]],Simulador!$F$47,-Simulador!$F$37)-Tabla1[[#This Row],[Seguro Desgravamen]]),"")</f>
        <v/>
      </c>
      <c r="F201" s="19" t="str">
        <f>IF(B200&lt;Simulador!$F$47,C201*Simulador!$F$43,"")</f>
        <v/>
      </c>
      <c r="G201" s="18" t="str">
        <f>IF(B200&lt;Simulador!$F$47,Simulador!$F$45*Simulador!$F$12/12,"")</f>
        <v/>
      </c>
      <c r="H201" s="19" t="str">
        <f>IF(B200&lt;Simulador!$F$47,C201-D201,"")</f>
        <v/>
      </c>
      <c r="I201" s="19" t="str">
        <f>IF(B200&lt;Simulador!$F$47,PMT(Simulador!$F$41+Simulador!$F$43,Simulador!$F$47,-Simulador!$F$37)+G201,"")</f>
        <v/>
      </c>
    </row>
    <row r="202" spans="1:9" ht="17.100000000000001" customHeight="1" x14ac:dyDescent="0.25">
      <c r="A202" s="14"/>
      <c r="B202" s="1" t="str">
        <f>IF(B201&lt;Simulador!$F$47,B201+1,"")</f>
        <v/>
      </c>
      <c r="C202" s="18" t="str">
        <f>IF(B201&lt;Simulador!$F$47,H201,"")</f>
        <v/>
      </c>
      <c r="D202" s="17" t="str">
        <f>IF(Tabla1[[#This Row],[Periodo]]="","",IF(B202&lt;=Simulador!$F$47,PPMT(Simulador!$F$41+Simulador!$F$43,Cronograma!B202,Simulador!$F$47,-Simulador!$F$37),""))</f>
        <v/>
      </c>
      <c r="E202" s="19" t="str">
        <f>IF(B201&lt;Simulador!$F$47,(IPMT(Simulador!$F$41+Simulador!$F$43,Tabla1[[#This Row],[Periodo]],Simulador!$F$47,-Simulador!$F$37)-Tabla1[[#This Row],[Seguro Desgravamen]]),"")</f>
        <v/>
      </c>
      <c r="F202" s="19" t="str">
        <f>IF(B201&lt;Simulador!$F$47,C202*Simulador!$F$43,"")</f>
        <v/>
      </c>
      <c r="G202" s="18" t="str">
        <f>IF(B201&lt;Simulador!$F$47,Simulador!$F$45*Simulador!$F$12/12,"")</f>
        <v/>
      </c>
      <c r="H202" s="19" t="str">
        <f>IF(B201&lt;Simulador!$F$47,C202-D202,"")</f>
        <v/>
      </c>
      <c r="I202" s="19" t="str">
        <f>IF(B201&lt;Simulador!$F$47,PMT(Simulador!$F$41+Simulador!$F$43,Simulador!$F$47,-Simulador!$F$37)+G202,"")</f>
        <v/>
      </c>
    </row>
    <row r="203" spans="1:9" ht="17.100000000000001" customHeight="1" x14ac:dyDescent="0.25">
      <c r="A203" s="14"/>
      <c r="B203" s="1" t="str">
        <f>IF(B202&lt;Simulador!$F$47,B202+1,"")</f>
        <v/>
      </c>
      <c r="C203" s="18" t="str">
        <f>IF(B202&lt;Simulador!$F$47,H202,"")</f>
        <v/>
      </c>
      <c r="D203" s="17" t="str">
        <f>IF(Tabla1[[#This Row],[Periodo]]="","",IF(B203&lt;=Simulador!$F$47,PPMT(Simulador!$F$41+Simulador!$F$43,Cronograma!B203,Simulador!$F$47,-Simulador!$F$37),""))</f>
        <v/>
      </c>
      <c r="E203" s="19" t="str">
        <f>IF(B202&lt;Simulador!$F$47,(IPMT(Simulador!$F$41+Simulador!$F$43,Tabla1[[#This Row],[Periodo]],Simulador!$F$47,-Simulador!$F$37)-Tabla1[[#This Row],[Seguro Desgravamen]]),"")</f>
        <v/>
      </c>
      <c r="F203" s="19" t="str">
        <f>IF(B202&lt;Simulador!$F$47,C203*Simulador!$F$43,"")</f>
        <v/>
      </c>
      <c r="G203" s="18" t="str">
        <f>IF(B202&lt;Simulador!$F$47,Simulador!$F$45*Simulador!$F$12/12,"")</f>
        <v/>
      </c>
      <c r="H203" s="19" t="str">
        <f>IF(B202&lt;Simulador!$F$47,C203-D203,"")</f>
        <v/>
      </c>
      <c r="I203" s="19" t="str">
        <f>IF(B202&lt;Simulador!$F$47,PMT(Simulador!$F$41+Simulador!$F$43,Simulador!$F$47,-Simulador!$F$37)+G203,"")</f>
        <v/>
      </c>
    </row>
    <row r="204" spans="1:9" ht="17.100000000000001" customHeight="1" x14ac:dyDescent="0.25">
      <c r="A204" s="14"/>
      <c r="B204" s="1" t="str">
        <f>IF(B203&lt;Simulador!$F$47,B203+1,"")</f>
        <v/>
      </c>
      <c r="C204" s="18" t="str">
        <f>IF(B203&lt;Simulador!$F$47,H203,"")</f>
        <v/>
      </c>
      <c r="D204" s="17" t="str">
        <f>IF(Tabla1[[#This Row],[Periodo]]="","",IF(B204&lt;=Simulador!$F$47,PPMT(Simulador!$F$41+Simulador!$F$43,Cronograma!B204,Simulador!$F$47,-Simulador!$F$37),""))</f>
        <v/>
      </c>
      <c r="E204" s="19" t="str">
        <f>IF(B203&lt;Simulador!$F$47,(IPMT(Simulador!$F$41+Simulador!$F$43,Tabla1[[#This Row],[Periodo]],Simulador!$F$47,-Simulador!$F$37)-Tabla1[[#This Row],[Seguro Desgravamen]]),"")</f>
        <v/>
      </c>
      <c r="F204" s="19" t="str">
        <f>IF(B203&lt;Simulador!$F$47,C204*Simulador!$F$43,"")</f>
        <v/>
      </c>
      <c r="G204" s="18" t="str">
        <f>IF(B203&lt;Simulador!$F$47,Simulador!$F$45*Simulador!$F$12/12,"")</f>
        <v/>
      </c>
      <c r="H204" s="19" t="str">
        <f>IF(B203&lt;Simulador!$F$47,C204-D204,"")</f>
        <v/>
      </c>
      <c r="I204" s="19" t="str">
        <f>IF(B203&lt;Simulador!$F$47,PMT(Simulador!$F$41+Simulador!$F$43,Simulador!$F$47,-Simulador!$F$37)+G204,"")</f>
        <v/>
      </c>
    </row>
    <row r="205" spans="1:9" ht="17.100000000000001" customHeight="1" x14ac:dyDescent="0.25">
      <c r="A205" s="14"/>
      <c r="B205" s="1" t="str">
        <f>IF(B204&lt;Simulador!$F$47,B204+1,"")</f>
        <v/>
      </c>
      <c r="C205" s="18" t="str">
        <f>IF(B204&lt;Simulador!$F$47,H204,"")</f>
        <v/>
      </c>
      <c r="D205" s="17" t="str">
        <f>IF(Tabla1[[#This Row],[Periodo]]="","",IF(B205&lt;=Simulador!$F$47,PPMT(Simulador!$F$41+Simulador!$F$43,Cronograma!B205,Simulador!$F$47,-Simulador!$F$37),""))</f>
        <v/>
      </c>
      <c r="E205" s="19" t="str">
        <f>IF(B204&lt;Simulador!$F$47,(IPMT(Simulador!$F$41+Simulador!$F$43,Tabla1[[#This Row],[Periodo]],Simulador!$F$47,-Simulador!$F$37)-Tabla1[[#This Row],[Seguro Desgravamen]]),"")</f>
        <v/>
      </c>
      <c r="F205" s="19" t="str">
        <f>IF(B204&lt;Simulador!$F$47,C205*Simulador!$F$43,"")</f>
        <v/>
      </c>
      <c r="G205" s="18" t="str">
        <f>IF(B204&lt;Simulador!$F$47,Simulador!$F$45*Simulador!$F$12/12,"")</f>
        <v/>
      </c>
      <c r="H205" s="19" t="str">
        <f>IF(B204&lt;Simulador!$F$47,C205-D205,"")</f>
        <v/>
      </c>
      <c r="I205" s="19" t="str">
        <f>IF(B204&lt;Simulador!$F$47,PMT(Simulador!$F$41+Simulador!$F$43,Simulador!$F$47,-Simulador!$F$37)+G205,"")</f>
        <v/>
      </c>
    </row>
    <row r="206" spans="1:9" ht="17.100000000000001" customHeight="1" x14ac:dyDescent="0.25">
      <c r="A206" s="14"/>
      <c r="B206" s="1" t="str">
        <f>IF(B205&lt;Simulador!$F$47,B205+1,"")</f>
        <v/>
      </c>
      <c r="C206" s="18" t="str">
        <f>IF(B205&lt;Simulador!$F$47,H205,"")</f>
        <v/>
      </c>
      <c r="D206" s="17" t="str">
        <f>IF(Tabla1[[#This Row],[Periodo]]="","",IF(B206&lt;=Simulador!$F$47,PPMT(Simulador!$F$41+Simulador!$F$43,Cronograma!B206,Simulador!$F$47,-Simulador!$F$37),""))</f>
        <v/>
      </c>
      <c r="E206" s="19" t="str">
        <f>IF(B205&lt;Simulador!$F$47,(IPMT(Simulador!$F$41+Simulador!$F$43,Tabla1[[#This Row],[Periodo]],Simulador!$F$47,-Simulador!$F$37)-Tabla1[[#This Row],[Seguro Desgravamen]]),"")</f>
        <v/>
      </c>
      <c r="F206" s="19" t="str">
        <f>IF(B205&lt;Simulador!$F$47,C206*Simulador!$F$43,"")</f>
        <v/>
      </c>
      <c r="G206" s="18" t="str">
        <f>IF(B205&lt;Simulador!$F$47,Simulador!$F$45*Simulador!$F$12/12,"")</f>
        <v/>
      </c>
      <c r="H206" s="19" t="str">
        <f>IF(B205&lt;Simulador!$F$47,C206-D206,"")</f>
        <v/>
      </c>
      <c r="I206" s="19" t="str">
        <f>IF(B205&lt;Simulador!$F$47,PMT(Simulador!$F$41+Simulador!$F$43,Simulador!$F$47,-Simulador!$F$37)+G206,"")</f>
        <v/>
      </c>
    </row>
    <row r="207" spans="1:9" ht="17.100000000000001" customHeight="1" x14ac:dyDescent="0.25">
      <c r="A207" s="14"/>
      <c r="B207" s="1" t="str">
        <f>IF(B206&lt;Simulador!$F$47,B206+1,"")</f>
        <v/>
      </c>
      <c r="C207" s="18" t="str">
        <f>IF(B206&lt;Simulador!$F$47,H206,"")</f>
        <v/>
      </c>
      <c r="D207" s="17" t="str">
        <f>IF(Tabla1[[#This Row],[Periodo]]="","",IF(B207&lt;=Simulador!$F$47,PPMT(Simulador!$F$41+Simulador!$F$43,Cronograma!B207,Simulador!$F$47,-Simulador!$F$37),""))</f>
        <v/>
      </c>
      <c r="E207" s="19" t="str">
        <f>IF(B206&lt;Simulador!$F$47,(IPMT(Simulador!$F$41+Simulador!$F$43,Tabla1[[#This Row],[Periodo]],Simulador!$F$47,-Simulador!$F$37)-Tabla1[[#This Row],[Seguro Desgravamen]]),"")</f>
        <v/>
      </c>
      <c r="F207" s="19" t="str">
        <f>IF(B206&lt;Simulador!$F$47,C207*Simulador!$F$43,"")</f>
        <v/>
      </c>
      <c r="G207" s="18" t="str">
        <f>IF(B206&lt;Simulador!$F$47,Simulador!$F$45*Simulador!$F$12/12,"")</f>
        <v/>
      </c>
      <c r="H207" s="19" t="str">
        <f>IF(B206&lt;Simulador!$F$47,C207-D207,"")</f>
        <v/>
      </c>
      <c r="I207" s="19" t="str">
        <f>IF(B206&lt;Simulador!$F$47,PMT(Simulador!$F$41+Simulador!$F$43,Simulador!$F$47,-Simulador!$F$37)+G207,"")</f>
        <v/>
      </c>
    </row>
    <row r="208" spans="1:9" ht="17.100000000000001" customHeight="1" x14ac:dyDescent="0.25">
      <c r="A208" s="14"/>
      <c r="B208" s="1" t="str">
        <f>IF(B207&lt;Simulador!$F$47,B207+1,"")</f>
        <v/>
      </c>
      <c r="C208" s="18" t="str">
        <f>IF(B207&lt;Simulador!$F$47,H207,"")</f>
        <v/>
      </c>
      <c r="D208" s="17" t="str">
        <f>IF(Tabla1[[#This Row],[Periodo]]="","",IF(B208&lt;=Simulador!$F$47,PPMT(Simulador!$F$41+Simulador!$F$43,Cronograma!B208,Simulador!$F$47,-Simulador!$F$37),""))</f>
        <v/>
      </c>
      <c r="E208" s="19" t="str">
        <f>IF(B207&lt;Simulador!$F$47,(IPMT(Simulador!$F$41+Simulador!$F$43,Tabla1[[#This Row],[Periodo]],Simulador!$F$47,-Simulador!$F$37)-Tabla1[[#This Row],[Seguro Desgravamen]]),"")</f>
        <v/>
      </c>
      <c r="F208" s="19" t="str">
        <f>IF(B207&lt;Simulador!$F$47,C208*Simulador!$F$43,"")</f>
        <v/>
      </c>
      <c r="G208" s="18" t="str">
        <f>IF(B207&lt;Simulador!$F$47,Simulador!$F$45*Simulador!$F$12/12,"")</f>
        <v/>
      </c>
      <c r="H208" s="19" t="str">
        <f>IF(B207&lt;Simulador!$F$47,C208-D208,"")</f>
        <v/>
      </c>
      <c r="I208" s="19" t="str">
        <f>IF(B207&lt;Simulador!$F$47,PMT(Simulador!$F$41+Simulador!$F$43,Simulador!$F$47,-Simulador!$F$37)+G208,"")</f>
        <v/>
      </c>
    </row>
    <row r="209" spans="1:9" ht="17.100000000000001" customHeight="1" x14ac:dyDescent="0.25">
      <c r="A209" s="14"/>
      <c r="B209" s="1" t="str">
        <f>IF(B208&lt;Simulador!$F$47,B208+1,"")</f>
        <v/>
      </c>
      <c r="C209" s="18" t="str">
        <f>IF(B208&lt;Simulador!$F$47,H208,"")</f>
        <v/>
      </c>
      <c r="D209" s="17" t="str">
        <f>IF(Tabla1[[#This Row],[Periodo]]="","",IF(B209&lt;=Simulador!$F$47,PPMT(Simulador!$F$41+Simulador!$F$43,Cronograma!B209,Simulador!$F$47,-Simulador!$F$37),""))</f>
        <v/>
      </c>
      <c r="E209" s="19" t="str">
        <f>IF(B208&lt;Simulador!$F$47,(IPMT(Simulador!$F$41+Simulador!$F$43,Tabla1[[#This Row],[Periodo]],Simulador!$F$47,-Simulador!$F$37)-Tabla1[[#This Row],[Seguro Desgravamen]]),"")</f>
        <v/>
      </c>
      <c r="F209" s="19" t="str">
        <f>IF(B208&lt;Simulador!$F$47,C209*Simulador!$F$43,"")</f>
        <v/>
      </c>
      <c r="G209" s="18" t="str">
        <f>IF(B208&lt;Simulador!$F$47,Simulador!$F$45*Simulador!$F$12/12,"")</f>
        <v/>
      </c>
      <c r="H209" s="19" t="str">
        <f>IF(B208&lt;Simulador!$F$47,C209-D209,"")</f>
        <v/>
      </c>
      <c r="I209" s="19" t="str">
        <f>IF(B208&lt;Simulador!$F$47,PMT(Simulador!$F$41+Simulador!$F$43,Simulador!$F$47,-Simulador!$F$37)+G209,"")</f>
        <v/>
      </c>
    </row>
    <row r="210" spans="1:9" ht="17.100000000000001" customHeight="1" x14ac:dyDescent="0.25">
      <c r="A210" s="14"/>
      <c r="B210" s="1" t="str">
        <f>IF(B209&lt;Simulador!$F$47,B209+1,"")</f>
        <v/>
      </c>
      <c r="C210" s="18" t="str">
        <f>IF(B209&lt;Simulador!$F$47,H209,"")</f>
        <v/>
      </c>
      <c r="D210" s="17" t="str">
        <f>IF(Tabla1[[#This Row],[Periodo]]="","",IF(B210&lt;=Simulador!$F$47,PPMT(Simulador!$F$41+Simulador!$F$43,Cronograma!B210,Simulador!$F$47,-Simulador!$F$37),""))</f>
        <v/>
      </c>
      <c r="E210" s="19" t="str">
        <f>IF(B209&lt;Simulador!$F$47,(IPMT(Simulador!$F$41+Simulador!$F$43,Tabla1[[#This Row],[Periodo]],Simulador!$F$47,-Simulador!$F$37)-Tabla1[[#This Row],[Seguro Desgravamen]]),"")</f>
        <v/>
      </c>
      <c r="F210" s="19" t="str">
        <f>IF(B209&lt;Simulador!$F$47,C210*Simulador!$F$43,"")</f>
        <v/>
      </c>
      <c r="G210" s="18" t="str">
        <f>IF(B209&lt;Simulador!$F$47,Simulador!$F$45*Simulador!$F$12/12,"")</f>
        <v/>
      </c>
      <c r="H210" s="19" t="str">
        <f>IF(B209&lt;Simulador!$F$47,C210-D210,"")</f>
        <v/>
      </c>
      <c r="I210" s="19" t="str">
        <f>IF(B209&lt;Simulador!$F$47,PMT(Simulador!$F$41+Simulador!$F$43,Simulador!$F$47,-Simulador!$F$37)+G210,"")</f>
        <v/>
      </c>
    </row>
    <row r="211" spans="1:9" ht="17.100000000000001" customHeight="1" x14ac:dyDescent="0.25">
      <c r="A211" s="14"/>
      <c r="B211" s="1" t="str">
        <f>IF(B210&lt;Simulador!$F$47,B210+1,"")</f>
        <v/>
      </c>
      <c r="C211" s="18" t="str">
        <f>IF(B210&lt;Simulador!$F$47,H210,"")</f>
        <v/>
      </c>
      <c r="D211" s="17" t="str">
        <f>IF(Tabla1[[#This Row],[Periodo]]="","",IF(B211&lt;=Simulador!$F$47,PPMT(Simulador!$F$41+Simulador!$F$43,Cronograma!B211,Simulador!$F$47,-Simulador!$F$37),""))</f>
        <v/>
      </c>
      <c r="E211" s="19" t="str">
        <f>IF(B210&lt;Simulador!$F$47,(IPMT(Simulador!$F$41+Simulador!$F$43,Tabla1[[#This Row],[Periodo]],Simulador!$F$47,-Simulador!$F$37)-Tabla1[[#This Row],[Seguro Desgravamen]]),"")</f>
        <v/>
      </c>
      <c r="F211" s="19" t="str">
        <f>IF(B210&lt;Simulador!$F$47,C211*Simulador!$F$43,"")</f>
        <v/>
      </c>
      <c r="G211" s="18" t="str">
        <f>IF(B210&lt;Simulador!$F$47,Simulador!$F$45*Simulador!$F$12/12,"")</f>
        <v/>
      </c>
      <c r="H211" s="19" t="str">
        <f>IF(B210&lt;Simulador!$F$47,C211-D211,"")</f>
        <v/>
      </c>
      <c r="I211" s="19" t="str">
        <f>IF(B210&lt;Simulador!$F$47,PMT(Simulador!$F$41+Simulador!$F$43,Simulador!$F$47,-Simulador!$F$37)+G211,"")</f>
        <v/>
      </c>
    </row>
    <row r="212" spans="1:9" ht="17.100000000000001" customHeight="1" x14ac:dyDescent="0.25">
      <c r="A212" s="14"/>
      <c r="B212" s="1" t="str">
        <f>IF(B211&lt;Simulador!$F$47,B211+1,"")</f>
        <v/>
      </c>
      <c r="C212" s="18" t="str">
        <f>IF(B211&lt;Simulador!$F$47,H211,"")</f>
        <v/>
      </c>
      <c r="D212" s="17" t="str">
        <f>IF(Tabla1[[#This Row],[Periodo]]="","",IF(B212&lt;=Simulador!$F$47,PPMT(Simulador!$F$41+Simulador!$F$43,Cronograma!B212,Simulador!$F$47,-Simulador!$F$37),""))</f>
        <v/>
      </c>
      <c r="E212" s="19" t="str">
        <f>IF(B211&lt;Simulador!$F$47,(IPMT(Simulador!$F$41+Simulador!$F$43,Tabla1[[#This Row],[Periodo]],Simulador!$F$47,-Simulador!$F$37)-Tabla1[[#This Row],[Seguro Desgravamen]]),"")</f>
        <v/>
      </c>
      <c r="F212" s="19" t="str">
        <f>IF(B211&lt;Simulador!$F$47,C212*Simulador!$F$43,"")</f>
        <v/>
      </c>
      <c r="G212" s="18" t="str">
        <f>IF(B211&lt;Simulador!$F$47,Simulador!$F$45*Simulador!$F$12/12,"")</f>
        <v/>
      </c>
      <c r="H212" s="19" t="str">
        <f>IF(B211&lt;Simulador!$F$47,C212-D212,"")</f>
        <v/>
      </c>
      <c r="I212" s="19" t="str">
        <f>IF(B211&lt;Simulador!$F$47,PMT(Simulador!$F$41+Simulador!$F$43,Simulador!$F$47,-Simulador!$F$37)+G212,"")</f>
        <v/>
      </c>
    </row>
    <row r="213" spans="1:9" ht="17.100000000000001" customHeight="1" x14ac:dyDescent="0.25">
      <c r="A213" s="14"/>
      <c r="B213" s="1" t="str">
        <f>IF(B212&lt;Simulador!$F$47,B212+1,"")</f>
        <v/>
      </c>
      <c r="C213" s="18" t="str">
        <f>IF(B212&lt;Simulador!$F$47,H212,"")</f>
        <v/>
      </c>
      <c r="D213" s="17" t="str">
        <f>IF(Tabla1[[#This Row],[Periodo]]="","",IF(B213&lt;=Simulador!$F$47,PPMT(Simulador!$F$41+Simulador!$F$43,Cronograma!B213,Simulador!$F$47,-Simulador!$F$37),""))</f>
        <v/>
      </c>
      <c r="E213" s="19" t="str">
        <f>IF(B212&lt;Simulador!$F$47,(IPMT(Simulador!$F$41+Simulador!$F$43,Tabla1[[#This Row],[Periodo]],Simulador!$F$47,-Simulador!$F$37)-Tabla1[[#This Row],[Seguro Desgravamen]]),"")</f>
        <v/>
      </c>
      <c r="F213" s="19" t="str">
        <f>IF(B212&lt;Simulador!$F$47,C213*Simulador!$F$43,"")</f>
        <v/>
      </c>
      <c r="G213" s="18" t="str">
        <f>IF(B212&lt;Simulador!$F$47,Simulador!$F$45*Simulador!$F$12/12,"")</f>
        <v/>
      </c>
      <c r="H213" s="19" t="str">
        <f>IF(B212&lt;Simulador!$F$47,C213-D213,"")</f>
        <v/>
      </c>
      <c r="I213" s="19" t="str">
        <f>IF(B212&lt;Simulador!$F$47,PMT(Simulador!$F$41+Simulador!$F$43,Simulador!$F$47,-Simulador!$F$37)+G213,"")</f>
        <v/>
      </c>
    </row>
    <row r="214" spans="1:9" ht="17.100000000000001" customHeight="1" x14ac:dyDescent="0.25">
      <c r="A214" s="14"/>
      <c r="B214" s="1" t="str">
        <f>IF(B213&lt;Simulador!$F$47,B213+1,"")</f>
        <v/>
      </c>
      <c r="C214" s="18" t="str">
        <f>IF(B213&lt;Simulador!$F$47,H213,"")</f>
        <v/>
      </c>
      <c r="D214" s="17" t="str">
        <f>IF(Tabla1[[#This Row],[Periodo]]="","",IF(B214&lt;=Simulador!$F$47,PPMT(Simulador!$F$41+Simulador!$F$43,Cronograma!B214,Simulador!$F$47,-Simulador!$F$37),""))</f>
        <v/>
      </c>
      <c r="E214" s="19" t="str">
        <f>IF(B213&lt;Simulador!$F$47,(IPMT(Simulador!$F$41+Simulador!$F$43,Tabla1[[#This Row],[Periodo]],Simulador!$F$47,-Simulador!$F$37)-Tabla1[[#This Row],[Seguro Desgravamen]]),"")</f>
        <v/>
      </c>
      <c r="F214" s="19" t="str">
        <f>IF(B213&lt;Simulador!$F$47,C214*Simulador!$F$43,"")</f>
        <v/>
      </c>
      <c r="G214" s="18" t="str">
        <f>IF(B213&lt;Simulador!$F$47,Simulador!$F$45*Simulador!$F$12/12,"")</f>
        <v/>
      </c>
      <c r="H214" s="19" t="str">
        <f>IF(B213&lt;Simulador!$F$47,C214-D214,"")</f>
        <v/>
      </c>
      <c r="I214" s="19" t="str">
        <f>IF(B213&lt;Simulador!$F$47,PMT(Simulador!$F$41+Simulador!$F$43,Simulador!$F$47,-Simulador!$F$37)+G214,"")</f>
        <v/>
      </c>
    </row>
    <row r="215" spans="1:9" ht="17.100000000000001" customHeight="1" x14ac:dyDescent="0.25">
      <c r="A215" s="14"/>
      <c r="B215" s="1" t="str">
        <f>IF(B214&lt;Simulador!$F$47,B214+1,"")</f>
        <v/>
      </c>
      <c r="C215" s="18" t="str">
        <f>IF(B214&lt;Simulador!$F$47,H214,"")</f>
        <v/>
      </c>
      <c r="D215" s="17" t="str">
        <f>IF(Tabla1[[#This Row],[Periodo]]="","",IF(B215&lt;=Simulador!$F$47,PPMT(Simulador!$F$41+Simulador!$F$43,Cronograma!B215,Simulador!$F$47,-Simulador!$F$37),""))</f>
        <v/>
      </c>
      <c r="E215" s="19" t="str">
        <f>IF(B214&lt;Simulador!$F$47,(IPMT(Simulador!$F$41+Simulador!$F$43,Tabla1[[#This Row],[Periodo]],Simulador!$F$47,-Simulador!$F$37)-Tabla1[[#This Row],[Seguro Desgravamen]]),"")</f>
        <v/>
      </c>
      <c r="F215" s="19" t="str">
        <f>IF(B214&lt;Simulador!$F$47,C215*Simulador!$F$43,"")</f>
        <v/>
      </c>
      <c r="G215" s="18" t="str">
        <f>IF(B214&lt;Simulador!$F$47,Simulador!$F$45*Simulador!$F$12/12,"")</f>
        <v/>
      </c>
      <c r="H215" s="19" t="str">
        <f>IF(B214&lt;Simulador!$F$47,C215-D215,"")</f>
        <v/>
      </c>
      <c r="I215" s="19" t="str">
        <f>IF(B214&lt;Simulador!$F$47,PMT(Simulador!$F$41+Simulador!$F$43,Simulador!$F$47,-Simulador!$F$37)+G215,"")</f>
        <v/>
      </c>
    </row>
    <row r="216" spans="1:9" ht="17.100000000000001" customHeight="1" x14ac:dyDescent="0.25">
      <c r="A216" s="14"/>
      <c r="B216" s="1" t="str">
        <f>IF(B215&lt;Simulador!$F$47,B215+1,"")</f>
        <v/>
      </c>
      <c r="C216" s="18" t="str">
        <f>IF(B215&lt;Simulador!$F$47,H215,"")</f>
        <v/>
      </c>
      <c r="D216" s="17" t="str">
        <f>IF(Tabla1[[#This Row],[Periodo]]="","",IF(B216&lt;=Simulador!$F$47,PPMT(Simulador!$F$41+Simulador!$F$43,Cronograma!B216,Simulador!$F$47,-Simulador!$F$37),""))</f>
        <v/>
      </c>
      <c r="E216" s="19" t="str">
        <f>IF(B215&lt;Simulador!$F$47,(IPMT(Simulador!$F$41+Simulador!$F$43,Tabla1[[#This Row],[Periodo]],Simulador!$F$47,-Simulador!$F$37)-Tabla1[[#This Row],[Seguro Desgravamen]]),"")</f>
        <v/>
      </c>
      <c r="F216" s="19" t="str">
        <f>IF(B215&lt;Simulador!$F$47,C216*Simulador!$F$43,"")</f>
        <v/>
      </c>
      <c r="G216" s="18" t="str">
        <f>IF(B215&lt;Simulador!$F$47,Simulador!$F$45*Simulador!$F$12/12,"")</f>
        <v/>
      </c>
      <c r="H216" s="19" t="str">
        <f>IF(B215&lt;Simulador!$F$47,C216-D216,"")</f>
        <v/>
      </c>
      <c r="I216" s="19" t="str">
        <f>IF(B215&lt;Simulador!$F$47,PMT(Simulador!$F$41+Simulador!$F$43,Simulador!$F$47,-Simulador!$F$37)+G216,"")</f>
        <v/>
      </c>
    </row>
    <row r="217" spans="1:9" ht="17.100000000000001" customHeight="1" x14ac:dyDescent="0.25">
      <c r="A217" s="14"/>
      <c r="B217" s="1" t="str">
        <f>IF(B216&lt;Simulador!$F$47,B216+1,"")</f>
        <v/>
      </c>
      <c r="C217" s="18" t="str">
        <f>IF(B216&lt;Simulador!$F$47,H216,"")</f>
        <v/>
      </c>
      <c r="D217" s="17" t="str">
        <f>IF(Tabla1[[#This Row],[Periodo]]="","",IF(B217&lt;=Simulador!$F$47,PPMT(Simulador!$F$41+Simulador!$F$43,Cronograma!B217,Simulador!$F$47,-Simulador!$F$37),""))</f>
        <v/>
      </c>
      <c r="E217" s="19" t="str">
        <f>IF(B216&lt;Simulador!$F$47,(IPMT(Simulador!$F$41+Simulador!$F$43,Tabla1[[#This Row],[Periodo]],Simulador!$F$47,-Simulador!$F$37)-Tabla1[[#This Row],[Seguro Desgravamen]]),"")</f>
        <v/>
      </c>
      <c r="F217" s="19" t="str">
        <f>IF(B216&lt;Simulador!$F$47,C217*Simulador!$F$43,"")</f>
        <v/>
      </c>
      <c r="G217" s="18" t="str">
        <f>IF(B216&lt;Simulador!$F$47,Simulador!$F$45*Simulador!$F$12/12,"")</f>
        <v/>
      </c>
      <c r="H217" s="19" t="str">
        <f>IF(B216&lt;Simulador!$F$47,C217-D217,"")</f>
        <v/>
      </c>
      <c r="I217" s="19" t="str">
        <f>IF(B216&lt;Simulador!$F$47,PMT(Simulador!$F$41+Simulador!$F$43,Simulador!$F$47,-Simulador!$F$37)+G217,"")</f>
        <v/>
      </c>
    </row>
    <row r="218" spans="1:9" ht="17.100000000000001" customHeight="1" x14ac:dyDescent="0.25">
      <c r="A218" s="14"/>
      <c r="B218" s="1" t="str">
        <f>IF(B217&lt;Simulador!$F$47,B217+1,"")</f>
        <v/>
      </c>
      <c r="C218" s="18" t="str">
        <f>IF(B217&lt;Simulador!$F$47,H217,"")</f>
        <v/>
      </c>
      <c r="D218" s="17" t="str">
        <f>IF(Tabla1[[#This Row],[Periodo]]="","",IF(B218&lt;=Simulador!$F$47,PPMT(Simulador!$F$41+Simulador!$F$43,Cronograma!B218,Simulador!$F$47,-Simulador!$F$37),""))</f>
        <v/>
      </c>
      <c r="E218" s="19" t="str">
        <f>IF(B217&lt;Simulador!$F$47,(IPMT(Simulador!$F$41+Simulador!$F$43,Tabla1[[#This Row],[Periodo]],Simulador!$F$47,-Simulador!$F$37)-Tabla1[[#This Row],[Seguro Desgravamen]]),"")</f>
        <v/>
      </c>
      <c r="F218" s="19" t="str">
        <f>IF(B217&lt;Simulador!$F$47,C218*Simulador!$F$43,"")</f>
        <v/>
      </c>
      <c r="G218" s="18" t="str">
        <f>IF(B217&lt;Simulador!$F$47,Simulador!$F$45*Simulador!$F$12/12,"")</f>
        <v/>
      </c>
      <c r="H218" s="19" t="str">
        <f>IF(B217&lt;Simulador!$F$47,C218-D218,"")</f>
        <v/>
      </c>
      <c r="I218" s="19" t="str">
        <f>IF(B217&lt;Simulador!$F$47,PMT(Simulador!$F$41+Simulador!$F$43,Simulador!$F$47,-Simulador!$F$37)+G218,"")</f>
        <v/>
      </c>
    </row>
    <row r="219" spans="1:9" ht="17.100000000000001" customHeight="1" x14ac:dyDescent="0.25">
      <c r="A219" s="14"/>
      <c r="B219" s="1" t="str">
        <f>IF(B218&lt;Simulador!$F$47,B218+1,"")</f>
        <v/>
      </c>
      <c r="C219" s="18" t="str">
        <f>IF(B218&lt;Simulador!$F$47,H218,"")</f>
        <v/>
      </c>
      <c r="D219" s="17" t="str">
        <f>IF(Tabla1[[#This Row],[Periodo]]="","",IF(B219&lt;=Simulador!$F$47,PPMT(Simulador!$F$41+Simulador!$F$43,Cronograma!B219,Simulador!$F$47,-Simulador!$F$37),""))</f>
        <v/>
      </c>
      <c r="E219" s="19" t="str">
        <f>IF(B218&lt;Simulador!$F$47,(IPMT(Simulador!$F$41+Simulador!$F$43,Tabla1[[#This Row],[Periodo]],Simulador!$F$47,-Simulador!$F$37)-Tabla1[[#This Row],[Seguro Desgravamen]]),"")</f>
        <v/>
      </c>
      <c r="F219" s="19" t="str">
        <f>IF(B218&lt;Simulador!$F$47,C219*Simulador!$F$43,"")</f>
        <v/>
      </c>
      <c r="G219" s="18" t="str">
        <f>IF(B218&lt;Simulador!$F$47,Simulador!$F$45*Simulador!$F$12/12,"")</f>
        <v/>
      </c>
      <c r="H219" s="19" t="str">
        <f>IF(B218&lt;Simulador!$F$47,C219-D219,"")</f>
        <v/>
      </c>
      <c r="I219" s="19" t="str">
        <f>IF(B218&lt;Simulador!$F$47,PMT(Simulador!$F$41+Simulador!$F$43,Simulador!$F$47,-Simulador!$F$37)+G219,"")</f>
        <v/>
      </c>
    </row>
    <row r="220" spans="1:9" ht="17.100000000000001" customHeight="1" x14ac:dyDescent="0.25">
      <c r="A220" s="14"/>
      <c r="B220" s="1" t="str">
        <f>IF(B219&lt;Simulador!$F$47,B219+1,"")</f>
        <v/>
      </c>
      <c r="C220" s="18" t="str">
        <f>IF(B219&lt;Simulador!$F$47,H219,"")</f>
        <v/>
      </c>
      <c r="D220" s="17" t="str">
        <f>IF(Tabla1[[#This Row],[Periodo]]="","",IF(B220&lt;=Simulador!$F$47,PPMT(Simulador!$F$41+Simulador!$F$43,Cronograma!B220,Simulador!$F$47,-Simulador!$F$37),""))</f>
        <v/>
      </c>
      <c r="E220" s="19" t="str">
        <f>IF(B219&lt;Simulador!$F$47,(IPMT(Simulador!$F$41+Simulador!$F$43,Tabla1[[#This Row],[Periodo]],Simulador!$F$47,-Simulador!$F$37)-Tabla1[[#This Row],[Seguro Desgravamen]]),"")</f>
        <v/>
      </c>
      <c r="F220" s="19" t="str">
        <f>IF(B219&lt;Simulador!$F$47,C220*Simulador!$F$43,"")</f>
        <v/>
      </c>
      <c r="G220" s="18" t="str">
        <f>IF(B219&lt;Simulador!$F$47,Simulador!$F$45*Simulador!$F$12/12,"")</f>
        <v/>
      </c>
      <c r="H220" s="19" t="str">
        <f>IF(B219&lt;Simulador!$F$47,C220-D220,"")</f>
        <v/>
      </c>
      <c r="I220" s="19" t="str">
        <f>IF(B219&lt;Simulador!$F$47,PMT(Simulador!$F$41+Simulador!$F$43,Simulador!$F$47,-Simulador!$F$37)+G220,"")</f>
        <v/>
      </c>
    </row>
    <row r="221" spans="1:9" ht="17.100000000000001" customHeight="1" x14ac:dyDescent="0.25">
      <c r="A221" s="14"/>
      <c r="B221" s="1" t="str">
        <f>IF(B220&lt;Simulador!$F$47,B220+1,"")</f>
        <v/>
      </c>
      <c r="C221" s="18" t="str">
        <f>IF(B220&lt;Simulador!$F$47,H220,"")</f>
        <v/>
      </c>
      <c r="D221" s="17" t="str">
        <f>IF(Tabla1[[#This Row],[Periodo]]="","",IF(B221&lt;=Simulador!$F$47,PPMT(Simulador!$F$41+Simulador!$F$43,Cronograma!B221,Simulador!$F$47,-Simulador!$F$37),""))</f>
        <v/>
      </c>
      <c r="E221" s="19" t="str">
        <f>IF(B220&lt;Simulador!$F$47,(IPMT(Simulador!$F$41+Simulador!$F$43,Tabla1[[#This Row],[Periodo]],Simulador!$F$47,-Simulador!$F$37)-Tabla1[[#This Row],[Seguro Desgravamen]]),"")</f>
        <v/>
      </c>
      <c r="F221" s="19" t="str">
        <f>IF(B220&lt;Simulador!$F$47,C221*Simulador!$F$43,"")</f>
        <v/>
      </c>
      <c r="G221" s="18" t="str">
        <f>IF(B220&lt;Simulador!$F$47,Simulador!$F$45*Simulador!$F$12/12,"")</f>
        <v/>
      </c>
      <c r="H221" s="19" t="str">
        <f>IF(B220&lt;Simulador!$F$47,C221-D221,"")</f>
        <v/>
      </c>
      <c r="I221" s="19" t="str">
        <f>IF(B220&lt;Simulador!$F$47,PMT(Simulador!$F$41+Simulador!$F$43,Simulador!$F$47,-Simulador!$F$37)+G221,"")</f>
        <v/>
      </c>
    </row>
    <row r="222" spans="1:9" ht="17.100000000000001" customHeight="1" x14ac:dyDescent="0.25">
      <c r="A222" s="14"/>
      <c r="B222" s="1" t="str">
        <f>IF(B221&lt;Simulador!$F$47,B221+1,"")</f>
        <v/>
      </c>
      <c r="C222" s="18" t="str">
        <f>IF(B221&lt;Simulador!$F$47,H221,"")</f>
        <v/>
      </c>
      <c r="D222" s="17" t="str">
        <f>IF(Tabla1[[#This Row],[Periodo]]="","",IF(B222&lt;=Simulador!$F$47,PPMT(Simulador!$F$41+Simulador!$F$43,Cronograma!B222,Simulador!$F$47,-Simulador!$F$37),""))</f>
        <v/>
      </c>
      <c r="E222" s="19" t="str">
        <f>IF(B221&lt;Simulador!$F$47,(IPMT(Simulador!$F$41+Simulador!$F$43,Tabla1[[#This Row],[Periodo]],Simulador!$F$47,-Simulador!$F$37)-Tabla1[[#This Row],[Seguro Desgravamen]]),"")</f>
        <v/>
      </c>
      <c r="F222" s="19" t="str">
        <f>IF(B221&lt;Simulador!$F$47,C222*Simulador!$F$43,"")</f>
        <v/>
      </c>
      <c r="G222" s="18" t="str">
        <f>IF(B221&lt;Simulador!$F$47,Simulador!$F$45*Simulador!$F$12/12,"")</f>
        <v/>
      </c>
      <c r="H222" s="19" t="str">
        <f>IF(B221&lt;Simulador!$F$47,C222-D222,"")</f>
        <v/>
      </c>
      <c r="I222" s="19" t="str">
        <f>IF(B221&lt;Simulador!$F$47,PMT(Simulador!$F$41+Simulador!$F$43,Simulador!$F$47,-Simulador!$F$37)+G222,"")</f>
        <v/>
      </c>
    </row>
    <row r="223" spans="1:9" ht="17.100000000000001" customHeight="1" x14ac:dyDescent="0.25">
      <c r="A223" s="14"/>
      <c r="B223" s="1" t="str">
        <f>IF(B222&lt;Simulador!$F$47,B222+1,"")</f>
        <v/>
      </c>
      <c r="C223" s="18" t="str">
        <f>IF(B222&lt;Simulador!$F$47,H222,"")</f>
        <v/>
      </c>
      <c r="D223" s="17" t="str">
        <f>IF(Tabla1[[#This Row],[Periodo]]="","",IF(B223&lt;=Simulador!$F$47,PPMT(Simulador!$F$41+Simulador!$F$43,Cronograma!B223,Simulador!$F$47,-Simulador!$F$37),""))</f>
        <v/>
      </c>
      <c r="E223" s="19" t="str">
        <f>IF(B222&lt;Simulador!$F$47,(IPMT(Simulador!$F$41+Simulador!$F$43,Tabla1[[#This Row],[Periodo]],Simulador!$F$47,-Simulador!$F$37)-Tabla1[[#This Row],[Seguro Desgravamen]]),"")</f>
        <v/>
      </c>
      <c r="F223" s="19" t="str">
        <f>IF(B222&lt;Simulador!$F$47,C223*Simulador!$F$43,"")</f>
        <v/>
      </c>
      <c r="G223" s="18" t="str">
        <f>IF(B222&lt;Simulador!$F$47,Simulador!$F$45*Simulador!$F$12/12,"")</f>
        <v/>
      </c>
      <c r="H223" s="19" t="str">
        <f>IF(B222&lt;Simulador!$F$47,C223-D223,"")</f>
        <v/>
      </c>
      <c r="I223" s="19" t="str">
        <f>IF(B222&lt;Simulador!$F$47,PMT(Simulador!$F$41+Simulador!$F$43,Simulador!$F$47,-Simulador!$F$37)+G223,"")</f>
        <v/>
      </c>
    </row>
    <row r="224" spans="1:9" ht="17.100000000000001" customHeight="1" x14ac:dyDescent="0.25">
      <c r="A224" s="14"/>
      <c r="B224" s="1" t="str">
        <f>IF(B223&lt;Simulador!$F$47,B223+1,"")</f>
        <v/>
      </c>
      <c r="C224" s="18" t="str">
        <f>IF(B223&lt;Simulador!$F$47,H223,"")</f>
        <v/>
      </c>
      <c r="D224" s="17" t="str">
        <f>IF(Tabla1[[#This Row],[Periodo]]="","",IF(B224&lt;=Simulador!$F$47,PPMT(Simulador!$F$41+Simulador!$F$43,Cronograma!B224,Simulador!$F$47,-Simulador!$F$37),""))</f>
        <v/>
      </c>
      <c r="E224" s="19" t="str">
        <f>IF(B223&lt;Simulador!$F$47,(IPMT(Simulador!$F$41+Simulador!$F$43,Tabla1[[#This Row],[Periodo]],Simulador!$F$47,-Simulador!$F$37)-Tabla1[[#This Row],[Seguro Desgravamen]]),"")</f>
        <v/>
      </c>
      <c r="F224" s="19" t="str">
        <f>IF(B223&lt;Simulador!$F$47,C224*Simulador!$F$43,"")</f>
        <v/>
      </c>
      <c r="G224" s="18" t="str">
        <f>IF(B223&lt;Simulador!$F$47,Simulador!$F$45*Simulador!$F$12/12,"")</f>
        <v/>
      </c>
      <c r="H224" s="19" t="str">
        <f>IF(B223&lt;Simulador!$F$47,C224-D224,"")</f>
        <v/>
      </c>
      <c r="I224" s="19" t="str">
        <f>IF(B223&lt;Simulador!$F$47,PMT(Simulador!$F$41+Simulador!$F$43,Simulador!$F$47,-Simulador!$F$37)+G224,"")</f>
        <v/>
      </c>
    </row>
    <row r="225" spans="1:9" ht="17.100000000000001" customHeight="1" x14ac:dyDescent="0.25">
      <c r="A225" s="14"/>
      <c r="B225" s="1" t="str">
        <f>IF(B224&lt;Simulador!$F$47,B224+1,"")</f>
        <v/>
      </c>
      <c r="C225" s="18" t="str">
        <f>IF(B224&lt;Simulador!$F$47,H224,"")</f>
        <v/>
      </c>
      <c r="D225" s="17" t="str">
        <f>IF(Tabla1[[#This Row],[Periodo]]="","",IF(B225&lt;=Simulador!$F$47,PPMT(Simulador!$F$41+Simulador!$F$43,Cronograma!B225,Simulador!$F$47,-Simulador!$F$37),""))</f>
        <v/>
      </c>
      <c r="E225" s="19" t="str">
        <f>IF(B224&lt;Simulador!$F$47,(IPMT(Simulador!$F$41+Simulador!$F$43,Tabla1[[#This Row],[Periodo]],Simulador!$F$47,-Simulador!$F$37)-Tabla1[[#This Row],[Seguro Desgravamen]]),"")</f>
        <v/>
      </c>
      <c r="F225" s="19" t="str">
        <f>IF(B224&lt;Simulador!$F$47,C225*Simulador!$F$43,"")</f>
        <v/>
      </c>
      <c r="G225" s="18" t="str">
        <f>IF(B224&lt;Simulador!$F$47,Simulador!$F$45*Simulador!$F$12/12,"")</f>
        <v/>
      </c>
      <c r="H225" s="19" t="str">
        <f>IF(B224&lt;Simulador!$F$47,C225-D225,"")</f>
        <v/>
      </c>
      <c r="I225" s="19" t="str">
        <f>IF(B224&lt;Simulador!$F$47,PMT(Simulador!$F$41+Simulador!$F$43,Simulador!$F$47,-Simulador!$F$37)+G225,"")</f>
        <v/>
      </c>
    </row>
    <row r="226" spans="1:9" ht="17.100000000000001" customHeight="1" x14ac:dyDescent="0.25">
      <c r="A226" s="14"/>
      <c r="B226" s="1" t="str">
        <f>IF(B225&lt;Simulador!$F$47,B225+1,"")</f>
        <v/>
      </c>
      <c r="C226" s="18" t="str">
        <f>IF(B225&lt;Simulador!$F$47,H225,"")</f>
        <v/>
      </c>
      <c r="D226" s="17" t="str">
        <f>IF(Tabla1[[#This Row],[Periodo]]="","",IF(B226&lt;=Simulador!$F$47,PPMT(Simulador!$F$41+Simulador!$F$43,Cronograma!B226,Simulador!$F$47,-Simulador!$F$37),""))</f>
        <v/>
      </c>
      <c r="E226" s="19" t="str">
        <f>IF(B225&lt;Simulador!$F$47,(IPMT(Simulador!$F$41+Simulador!$F$43,Tabla1[[#This Row],[Periodo]],Simulador!$F$47,-Simulador!$F$37)-Tabla1[[#This Row],[Seguro Desgravamen]]),"")</f>
        <v/>
      </c>
      <c r="F226" s="19" t="str">
        <f>IF(B225&lt;Simulador!$F$47,C226*Simulador!$F$43,"")</f>
        <v/>
      </c>
      <c r="G226" s="18" t="str">
        <f>IF(B225&lt;Simulador!$F$47,Simulador!$F$45*Simulador!$F$12/12,"")</f>
        <v/>
      </c>
      <c r="H226" s="19" t="str">
        <f>IF(B225&lt;Simulador!$F$47,C226-D226,"")</f>
        <v/>
      </c>
      <c r="I226" s="19" t="str">
        <f>IF(B225&lt;Simulador!$F$47,PMT(Simulador!$F$41+Simulador!$F$43,Simulador!$F$47,-Simulador!$F$37)+G226,"")</f>
        <v/>
      </c>
    </row>
    <row r="227" spans="1:9" ht="17.100000000000001" customHeight="1" x14ac:dyDescent="0.25">
      <c r="A227" s="14"/>
      <c r="B227" s="1" t="str">
        <f>IF(B226&lt;Simulador!$F$47,B226+1,"")</f>
        <v/>
      </c>
      <c r="C227" s="18" t="str">
        <f>IF(B226&lt;Simulador!$F$47,H226,"")</f>
        <v/>
      </c>
      <c r="D227" s="17" t="str">
        <f>IF(Tabla1[[#This Row],[Periodo]]="","",IF(B227&lt;=Simulador!$F$47,PPMT(Simulador!$F$41+Simulador!$F$43,Cronograma!B227,Simulador!$F$47,-Simulador!$F$37),""))</f>
        <v/>
      </c>
      <c r="E227" s="19" t="str">
        <f>IF(B226&lt;Simulador!$F$47,(IPMT(Simulador!$F$41+Simulador!$F$43,Tabla1[[#This Row],[Periodo]],Simulador!$F$47,-Simulador!$F$37)-Tabla1[[#This Row],[Seguro Desgravamen]]),"")</f>
        <v/>
      </c>
      <c r="F227" s="19" t="str">
        <f>IF(B226&lt;Simulador!$F$47,C227*Simulador!$F$43,"")</f>
        <v/>
      </c>
      <c r="G227" s="18" t="str">
        <f>IF(B226&lt;Simulador!$F$47,Simulador!$F$45*Simulador!$F$12/12,"")</f>
        <v/>
      </c>
      <c r="H227" s="19" t="str">
        <f>IF(B226&lt;Simulador!$F$47,C227-D227,"")</f>
        <v/>
      </c>
      <c r="I227" s="19" t="str">
        <f>IF(B226&lt;Simulador!$F$47,PMT(Simulador!$F$41+Simulador!$F$43,Simulador!$F$47,-Simulador!$F$37)+G227,"")</f>
        <v/>
      </c>
    </row>
    <row r="228" spans="1:9" ht="17.100000000000001" customHeight="1" x14ac:dyDescent="0.25">
      <c r="A228" s="14"/>
      <c r="B228" s="1" t="str">
        <f>IF(B227&lt;Simulador!$F$47,B227+1,"")</f>
        <v/>
      </c>
      <c r="C228" s="18" t="str">
        <f>IF(B227&lt;Simulador!$F$47,H227,"")</f>
        <v/>
      </c>
      <c r="D228" s="17" t="str">
        <f>IF(Tabla1[[#This Row],[Periodo]]="","",IF(B228&lt;=Simulador!$F$47,PPMT(Simulador!$F$41+Simulador!$F$43,Cronograma!B228,Simulador!$F$47,-Simulador!$F$37),""))</f>
        <v/>
      </c>
      <c r="E228" s="19" t="str">
        <f>IF(B227&lt;Simulador!$F$47,(IPMT(Simulador!$F$41+Simulador!$F$43,Tabla1[[#This Row],[Periodo]],Simulador!$F$47,-Simulador!$F$37)-Tabla1[[#This Row],[Seguro Desgravamen]]),"")</f>
        <v/>
      </c>
      <c r="F228" s="19" t="str">
        <f>IF(B227&lt;Simulador!$F$47,C228*Simulador!$F$43,"")</f>
        <v/>
      </c>
      <c r="G228" s="18" t="str">
        <f>IF(B227&lt;Simulador!$F$47,Simulador!$F$45*Simulador!$F$12/12,"")</f>
        <v/>
      </c>
      <c r="H228" s="19" t="str">
        <f>IF(B227&lt;Simulador!$F$47,C228-D228,"")</f>
        <v/>
      </c>
      <c r="I228" s="19" t="str">
        <f>IF(B227&lt;Simulador!$F$47,PMT(Simulador!$F$41+Simulador!$F$43,Simulador!$F$47,-Simulador!$F$37)+G228,"")</f>
        <v/>
      </c>
    </row>
    <row r="229" spans="1:9" ht="17.100000000000001" customHeight="1" x14ac:dyDescent="0.25">
      <c r="A229" s="14"/>
      <c r="B229" s="1" t="str">
        <f>IF(B228&lt;Simulador!$F$47,B228+1,"")</f>
        <v/>
      </c>
      <c r="C229" s="18" t="str">
        <f>IF(B228&lt;Simulador!$F$47,H228,"")</f>
        <v/>
      </c>
      <c r="D229" s="17" t="str">
        <f>IF(Tabla1[[#This Row],[Periodo]]="","",IF(B229&lt;=Simulador!$F$47,PPMT(Simulador!$F$41+Simulador!$F$43,Cronograma!B229,Simulador!$F$47,-Simulador!$F$37),""))</f>
        <v/>
      </c>
      <c r="E229" s="19" t="str">
        <f>IF(B228&lt;Simulador!$F$47,(IPMT(Simulador!$F$41+Simulador!$F$43,Tabla1[[#This Row],[Periodo]],Simulador!$F$47,-Simulador!$F$37)-Tabla1[[#This Row],[Seguro Desgravamen]]),"")</f>
        <v/>
      </c>
      <c r="F229" s="19" t="str">
        <f>IF(B228&lt;Simulador!$F$47,C229*Simulador!$F$43,"")</f>
        <v/>
      </c>
      <c r="G229" s="18" t="str">
        <f>IF(B228&lt;Simulador!$F$47,Simulador!$F$45*Simulador!$F$12/12,"")</f>
        <v/>
      </c>
      <c r="H229" s="19" t="str">
        <f>IF(B228&lt;Simulador!$F$47,C229-D229,"")</f>
        <v/>
      </c>
      <c r="I229" s="19" t="str">
        <f>IF(B228&lt;Simulador!$F$47,PMT(Simulador!$F$41+Simulador!$F$43,Simulador!$F$47,-Simulador!$F$37)+G229,"")</f>
        <v/>
      </c>
    </row>
    <row r="230" spans="1:9" ht="17.100000000000001" customHeight="1" x14ac:dyDescent="0.25">
      <c r="A230" s="14"/>
      <c r="B230" s="1" t="str">
        <f>IF(B229&lt;Simulador!$F$47,B229+1,"")</f>
        <v/>
      </c>
      <c r="C230" s="18" t="str">
        <f>IF(B229&lt;Simulador!$F$47,H229,"")</f>
        <v/>
      </c>
      <c r="D230" s="17" t="str">
        <f>IF(Tabla1[[#This Row],[Periodo]]="","",IF(B230&lt;=Simulador!$F$47,PPMT(Simulador!$F$41+Simulador!$F$43,Cronograma!B230,Simulador!$F$47,-Simulador!$F$37),""))</f>
        <v/>
      </c>
      <c r="E230" s="19" t="str">
        <f>IF(B229&lt;Simulador!$F$47,(IPMT(Simulador!$F$41+Simulador!$F$43,Tabla1[[#This Row],[Periodo]],Simulador!$F$47,-Simulador!$F$37)-Tabla1[[#This Row],[Seguro Desgravamen]]),"")</f>
        <v/>
      </c>
      <c r="F230" s="19" t="str">
        <f>IF(B229&lt;Simulador!$F$47,C230*Simulador!$F$43,"")</f>
        <v/>
      </c>
      <c r="G230" s="18" t="str">
        <f>IF(B229&lt;Simulador!$F$47,Simulador!$F$45*Simulador!$F$12/12,"")</f>
        <v/>
      </c>
      <c r="H230" s="19" t="str">
        <f>IF(B229&lt;Simulador!$F$47,C230-D230,"")</f>
        <v/>
      </c>
      <c r="I230" s="19" t="str">
        <f>IF(B229&lt;Simulador!$F$47,PMT(Simulador!$F$41+Simulador!$F$43,Simulador!$F$47,-Simulador!$F$37)+G230,"")</f>
        <v/>
      </c>
    </row>
    <row r="231" spans="1:9" ht="17.100000000000001" customHeight="1" x14ac:dyDescent="0.25">
      <c r="A231" s="14"/>
      <c r="B231" s="1" t="str">
        <f>IF(B230&lt;Simulador!$F$47,B230+1,"")</f>
        <v/>
      </c>
      <c r="C231" s="18" t="str">
        <f>IF(B230&lt;Simulador!$F$47,H230,"")</f>
        <v/>
      </c>
      <c r="D231" s="17" t="str">
        <f>IF(Tabla1[[#This Row],[Periodo]]="","",IF(B231&lt;=Simulador!$F$47,PPMT(Simulador!$F$41+Simulador!$F$43,Cronograma!B231,Simulador!$F$47,-Simulador!$F$37),""))</f>
        <v/>
      </c>
      <c r="E231" s="19" t="str">
        <f>IF(B230&lt;Simulador!$F$47,(IPMT(Simulador!$F$41+Simulador!$F$43,Tabla1[[#This Row],[Periodo]],Simulador!$F$47,-Simulador!$F$37)-Tabla1[[#This Row],[Seguro Desgravamen]]),"")</f>
        <v/>
      </c>
      <c r="F231" s="19" t="str">
        <f>IF(B230&lt;Simulador!$F$47,C231*Simulador!$F$43,"")</f>
        <v/>
      </c>
      <c r="G231" s="18" t="str">
        <f>IF(B230&lt;Simulador!$F$47,Simulador!$F$45*Simulador!$F$12/12,"")</f>
        <v/>
      </c>
      <c r="H231" s="19" t="str">
        <f>IF(B230&lt;Simulador!$F$47,C231-D231,"")</f>
        <v/>
      </c>
      <c r="I231" s="19" t="str">
        <f>IF(B230&lt;Simulador!$F$47,PMT(Simulador!$F$41+Simulador!$F$43,Simulador!$F$47,-Simulador!$F$37)+G231,"")</f>
        <v/>
      </c>
    </row>
    <row r="232" spans="1:9" ht="17.100000000000001" customHeight="1" x14ac:dyDescent="0.25">
      <c r="A232" s="14"/>
      <c r="B232" s="1" t="str">
        <f>IF(B231&lt;Simulador!$F$47,B231+1,"")</f>
        <v/>
      </c>
      <c r="C232" s="18" t="str">
        <f>IF(B231&lt;Simulador!$F$47,H231,"")</f>
        <v/>
      </c>
      <c r="D232" s="17" t="str">
        <f>IF(Tabla1[[#This Row],[Periodo]]="","",IF(B232&lt;=Simulador!$F$47,PPMT(Simulador!$F$41+Simulador!$F$43,Cronograma!B232,Simulador!$F$47,-Simulador!$F$37),""))</f>
        <v/>
      </c>
      <c r="E232" s="19" t="str">
        <f>IF(B231&lt;Simulador!$F$47,(IPMT(Simulador!$F$41+Simulador!$F$43,Tabla1[[#This Row],[Periodo]],Simulador!$F$47,-Simulador!$F$37)-Tabla1[[#This Row],[Seguro Desgravamen]]),"")</f>
        <v/>
      </c>
      <c r="F232" s="19" t="str">
        <f>IF(B231&lt;Simulador!$F$47,C232*Simulador!$F$43,"")</f>
        <v/>
      </c>
      <c r="G232" s="18" t="str">
        <f>IF(B231&lt;Simulador!$F$47,Simulador!$F$45*Simulador!$F$12/12,"")</f>
        <v/>
      </c>
      <c r="H232" s="19" t="str">
        <f>IF(B231&lt;Simulador!$F$47,C232-D232,"")</f>
        <v/>
      </c>
      <c r="I232" s="19" t="str">
        <f>IF(B231&lt;Simulador!$F$47,PMT(Simulador!$F$41+Simulador!$F$43,Simulador!$F$47,-Simulador!$F$37)+G232,"")</f>
        <v/>
      </c>
    </row>
    <row r="233" spans="1:9" ht="17.100000000000001" customHeight="1" x14ac:dyDescent="0.25">
      <c r="A233" s="14"/>
      <c r="B233" s="1" t="str">
        <f>IF(B232&lt;Simulador!$F$47,B232+1,"")</f>
        <v/>
      </c>
      <c r="C233" s="18" t="str">
        <f>IF(B232&lt;Simulador!$F$47,H232,"")</f>
        <v/>
      </c>
      <c r="D233" s="17" t="str">
        <f>IF(Tabla1[[#This Row],[Periodo]]="","",IF(B233&lt;=Simulador!$F$47,PPMT(Simulador!$F$41+Simulador!$F$43,Cronograma!B233,Simulador!$F$47,-Simulador!$F$37),""))</f>
        <v/>
      </c>
      <c r="E233" s="19" t="str">
        <f>IF(B232&lt;Simulador!$F$47,(IPMT(Simulador!$F$41+Simulador!$F$43,Tabla1[[#This Row],[Periodo]],Simulador!$F$47,-Simulador!$F$37)-Tabla1[[#This Row],[Seguro Desgravamen]]),"")</f>
        <v/>
      </c>
      <c r="F233" s="19" t="str">
        <f>IF(B232&lt;Simulador!$F$47,C233*Simulador!$F$43,"")</f>
        <v/>
      </c>
      <c r="G233" s="18" t="str">
        <f>IF(B232&lt;Simulador!$F$47,Simulador!$F$45*Simulador!$F$12/12,"")</f>
        <v/>
      </c>
      <c r="H233" s="19" t="str">
        <f>IF(B232&lt;Simulador!$F$47,C233-D233,"")</f>
        <v/>
      </c>
      <c r="I233" s="19" t="str">
        <f>IF(B232&lt;Simulador!$F$47,PMT(Simulador!$F$41+Simulador!$F$43,Simulador!$F$47,-Simulador!$F$37)+G233,"")</f>
        <v/>
      </c>
    </row>
    <row r="234" spans="1:9" ht="17.100000000000001" customHeight="1" x14ac:dyDescent="0.25">
      <c r="A234" s="14"/>
      <c r="B234" s="1" t="str">
        <f>IF(B233&lt;Simulador!$F$47,B233+1,"")</f>
        <v/>
      </c>
      <c r="C234" s="18" t="str">
        <f>IF(B233&lt;Simulador!$F$47,H233,"")</f>
        <v/>
      </c>
      <c r="D234" s="17" t="str">
        <f>IF(Tabla1[[#This Row],[Periodo]]="","",IF(B234&lt;=Simulador!$F$47,PPMT(Simulador!$F$41+Simulador!$F$43,Cronograma!B234,Simulador!$F$47,-Simulador!$F$37),""))</f>
        <v/>
      </c>
      <c r="E234" s="19" t="str">
        <f>IF(B233&lt;Simulador!$F$47,(IPMT(Simulador!$F$41+Simulador!$F$43,Tabla1[[#This Row],[Periodo]],Simulador!$F$47,-Simulador!$F$37)-Tabla1[[#This Row],[Seguro Desgravamen]]),"")</f>
        <v/>
      </c>
      <c r="F234" s="19" t="str">
        <f>IF(B233&lt;Simulador!$F$47,C234*Simulador!$F$43,"")</f>
        <v/>
      </c>
      <c r="G234" s="18" t="str">
        <f>IF(B233&lt;Simulador!$F$47,Simulador!$F$45*Simulador!$F$12/12,"")</f>
        <v/>
      </c>
      <c r="H234" s="19" t="str">
        <f>IF(B233&lt;Simulador!$F$47,C234-D234,"")</f>
        <v/>
      </c>
      <c r="I234" s="19" t="str">
        <f>IF(B233&lt;Simulador!$F$47,PMT(Simulador!$F$41+Simulador!$F$43,Simulador!$F$47,-Simulador!$F$37)+G234,"")</f>
        <v/>
      </c>
    </row>
    <row r="235" spans="1:9" ht="17.100000000000001" customHeight="1" x14ac:dyDescent="0.25">
      <c r="A235" s="14"/>
      <c r="B235" s="1" t="str">
        <f>IF(B234&lt;Simulador!$F$47,B234+1,"")</f>
        <v/>
      </c>
      <c r="C235" s="18" t="str">
        <f>IF(B234&lt;Simulador!$F$47,H234,"")</f>
        <v/>
      </c>
      <c r="D235" s="17" t="str">
        <f>IF(Tabla1[[#This Row],[Periodo]]="","",IF(B235&lt;=Simulador!$F$47,PPMT(Simulador!$F$41+Simulador!$F$43,Cronograma!B235,Simulador!$F$47,-Simulador!$F$37),""))</f>
        <v/>
      </c>
      <c r="E235" s="19" t="str">
        <f>IF(B234&lt;Simulador!$F$47,(IPMT(Simulador!$F$41+Simulador!$F$43,Tabla1[[#This Row],[Periodo]],Simulador!$F$47,-Simulador!$F$37)-Tabla1[[#This Row],[Seguro Desgravamen]]),"")</f>
        <v/>
      </c>
      <c r="F235" s="19" t="str">
        <f>IF(B234&lt;Simulador!$F$47,C235*Simulador!$F$43,"")</f>
        <v/>
      </c>
      <c r="G235" s="18" t="str">
        <f>IF(B234&lt;Simulador!$F$47,Simulador!$F$45*Simulador!$F$12/12,"")</f>
        <v/>
      </c>
      <c r="H235" s="19" t="str">
        <f>IF(B234&lt;Simulador!$F$47,C235-D235,"")</f>
        <v/>
      </c>
      <c r="I235" s="19" t="str">
        <f>IF(B234&lt;Simulador!$F$47,PMT(Simulador!$F$41+Simulador!$F$43,Simulador!$F$47,-Simulador!$F$37)+G235,"")</f>
        <v/>
      </c>
    </row>
    <row r="236" spans="1:9" ht="17.100000000000001" customHeight="1" x14ac:dyDescent="0.25">
      <c r="A236" s="14"/>
      <c r="B236" s="1" t="str">
        <f>IF(B235&lt;Simulador!$F$47,B235+1,"")</f>
        <v/>
      </c>
      <c r="C236" s="18" t="str">
        <f>IF(B235&lt;Simulador!$F$47,H235,"")</f>
        <v/>
      </c>
      <c r="D236" s="17" t="str">
        <f>IF(Tabla1[[#This Row],[Periodo]]="","",IF(B236&lt;=Simulador!$F$47,PPMT(Simulador!$F$41+Simulador!$F$43,Cronograma!B236,Simulador!$F$47,-Simulador!$F$37),""))</f>
        <v/>
      </c>
      <c r="E236" s="19" t="str">
        <f>IF(B235&lt;Simulador!$F$47,(IPMT(Simulador!$F$41+Simulador!$F$43,Tabla1[[#This Row],[Periodo]],Simulador!$F$47,-Simulador!$F$37)-Tabla1[[#This Row],[Seguro Desgravamen]]),"")</f>
        <v/>
      </c>
      <c r="F236" s="19" t="str">
        <f>IF(B235&lt;Simulador!$F$47,C236*Simulador!$F$43,"")</f>
        <v/>
      </c>
      <c r="G236" s="18" t="str">
        <f>IF(B235&lt;Simulador!$F$47,Simulador!$F$45*Simulador!$F$12/12,"")</f>
        <v/>
      </c>
      <c r="H236" s="19" t="str">
        <f>IF(B235&lt;Simulador!$F$47,C236-D236,"")</f>
        <v/>
      </c>
      <c r="I236" s="19" t="str">
        <f>IF(B235&lt;Simulador!$F$47,PMT(Simulador!$F$41+Simulador!$F$43,Simulador!$F$47,-Simulador!$F$37)+G236,"")</f>
        <v/>
      </c>
    </row>
    <row r="237" spans="1:9" ht="17.100000000000001" customHeight="1" x14ac:dyDescent="0.25">
      <c r="A237" s="14"/>
      <c r="B237" s="1" t="str">
        <f>IF(B236&lt;Simulador!$F$47,B236+1,"")</f>
        <v/>
      </c>
      <c r="C237" s="18" t="str">
        <f>IF(B236&lt;Simulador!$F$47,H236,"")</f>
        <v/>
      </c>
      <c r="D237" s="17" t="str">
        <f>IF(Tabla1[[#This Row],[Periodo]]="","",IF(B237&lt;=Simulador!$F$47,PPMT(Simulador!$F$41+Simulador!$F$43,Cronograma!B237,Simulador!$F$47,-Simulador!$F$37),""))</f>
        <v/>
      </c>
      <c r="E237" s="19" t="str">
        <f>IF(B236&lt;Simulador!$F$47,(IPMT(Simulador!$F$41+Simulador!$F$43,Tabla1[[#This Row],[Periodo]],Simulador!$F$47,-Simulador!$F$37)-Tabla1[[#This Row],[Seguro Desgravamen]]),"")</f>
        <v/>
      </c>
      <c r="F237" s="19" t="str">
        <f>IF(B236&lt;Simulador!$F$47,C237*Simulador!$F$43,"")</f>
        <v/>
      </c>
      <c r="G237" s="18" t="str">
        <f>IF(B236&lt;Simulador!$F$47,Simulador!$F$45*Simulador!$F$12/12,"")</f>
        <v/>
      </c>
      <c r="H237" s="19" t="str">
        <f>IF(B236&lt;Simulador!$F$47,C237-D237,"")</f>
        <v/>
      </c>
      <c r="I237" s="19" t="str">
        <f>IF(B236&lt;Simulador!$F$47,PMT(Simulador!$F$41+Simulador!$F$43,Simulador!$F$47,-Simulador!$F$37)+G237,"")</f>
        <v/>
      </c>
    </row>
    <row r="238" spans="1:9" ht="17.100000000000001" customHeight="1" x14ac:dyDescent="0.25">
      <c r="A238" s="14"/>
      <c r="B238" s="1" t="str">
        <f>IF(B237&lt;Simulador!$F$47,B237+1,"")</f>
        <v/>
      </c>
      <c r="C238" s="18" t="str">
        <f>IF(B237&lt;Simulador!$F$47,H237,"")</f>
        <v/>
      </c>
      <c r="D238" s="17" t="str">
        <f>IF(Tabla1[[#This Row],[Periodo]]="","",IF(B238&lt;=Simulador!$F$47,PPMT(Simulador!$F$41+Simulador!$F$43,Cronograma!B238,Simulador!$F$47,-Simulador!$F$37),""))</f>
        <v/>
      </c>
      <c r="E238" s="19" t="str">
        <f>IF(B237&lt;Simulador!$F$47,(IPMT(Simulador!$F$41+Simulador!$F$43,Tabla1[[#This Row],[Periodo]],Simulador!$F$47,-Simulador!$F$37)-Tabla1[[#This Row],[Seguro Desgravamen]]),"")</f>
        <v/>
      </c>
      <c r="F238" s="19" t="str">
        <f>IF(B237&lt;Simulador!$F$47,C238*Simulador!$F$43,"")</f>
        <v/>
      </c>
      <c r="G238" s="18" t="str">
        <f>IF(B237&lt;Simulador!$F$47,Simulador!$F$45*Simulador!$F$12/12,"")</f>
        <v/>
      </c>
      <c r="H238" s="19" t="str">
        <f>IF(B237&lt;Simulador!$F$47,C238-D238,"")</f>
        <v/>
      </c>
      <c r="I238" s="19" t="str">
        <f>IF(B237&lt;Simulador!$F$47,PMT(Simulador!$F$41+Simulador!$F$43,Simulador!$F$47,-Simulador!$F$37)+G238,"")</f>
        <v/>
      </c>
    </row>
    <row r="239" spans="1:9" ht="17.100000000000001" customHeight="1" x14ac:dyDescent="0.25">
      <c r="A239" s="14"/>
      <c r="B239" s="1" t="str">
        <f>IF(B238&lt;Simulador!$F$47,B238+1,"")</f>
        <v/>
      </c>
      <c r="C239" s="18" t="str">
        <f>IF(B238&lt;Simulador!$F$47,H238,"")</f>
        <v/>
      </c>
      <c r="D239" s="17" t="str">
        <f>IF(Tabla1[[#This Row],[Periodo]]="","",IF(B239&lt;=Simulador!$F$47,PPMT(Simulador!$F$41+Simulador!$F$43,Cronograma!B239,Simulador!$F$47,-Simulador!$F$37),""))</f>
        <v/>
      </c>
      <c r="E239" s="19" t="str">
        <f>IF(B238&lt;Simulador!$F$47,(IPMT(Simulador!$F$41+Simulador!$F$43,Tabla1[[#This Row],[Periodo]],Simulador!$F$47,-Simulador!$F$37)-Tabla1[[#This Row],[Seguro Desgravamen]]),"")</f>
        <v/>
      </c>
      <c r="F239" s="19" t="str">
        <f>IF(B238&lt;Simulador!$F$47,C239*Simulador!$F$43,"")</f>
        <v/>
      </c>
      <c r="G239" s="18" t="str">
        <f>IF(B238&lt;Simulador!$F$47,Simulador!$F$45*Simulador!$F$12/12,"")</f>
        <v/>
      </c>
      <c r="H239" s="19" t="str">
        <f>IF(B238&lt;Simulador!$F$47,C239-D239,"")</f>
        <v/>
      </c>
      <c r="I239" s="19" t="str">
        <f>IF(B238&lt;Simulador!$F$47,PMT(Simulador!$F$41+Simulador!$F$43,Simulador!$F$47,-Simulador!$F$37)+G239,"")</f>
        <v/>
      </c>
    </row>
    <row r="240" spans="1:9" ht="17.100000000000001" customHeight="1" x14ac:dyDescent="0.25">
      <c r="A240" s="14"/>
      <c r="B240" s="1" t="str">
        <f>IF(B239&lt;Simulador!$F$47,B239+1,"")</f>
        <v/>
      </c>
      <c r="C240" s="18" t="str">
        <f>IF(B239&lt;Simulador!$F$47,H239,"")</f>
        <v/>
      </c>
      <c r="D240" s="17" t="str">
        <f>IF(Tabla1[[#This Row],[Periodo]]="","",IF(B240&lt;=Simulador!$F$47,PPMT(Simulador!$F$41+Simulador!$F$43,Cronograma!B240,Simulador!$F$47,-Simulador!$F$37),""))</f>
        <v/>
      </c>
      <c r="E240" s="19" t="str">
        <f>IF(B239&lt;Simulador!$F$47,(IPMT(Simulador!$F$41+Simulador!$F$43,Tabla1[[#This Row],[Periodo]],Simulador!$F$47,-Simulador!$F$37)-Tabla1[[#This Row],[Seguro Desgravamen]]),"")</f>
        <v/>
      </c>
      <c r="F240" s="19" t="str">
        <f>IF(B239&lt;Simulador!$F$47,C240*Simulador!$F$43,"")</f>
        <v/>
      </c>
      <c r="G240" s="18" t="str">
        <f>IF(B239&lt;Simulador!$F$47,Simulador!$F$45*Simulador!$F$12/12,"")</f>
        <v/>
      </c>
      <c r="H240" s="19" t="str">
        <f>IF(B239&lt;Simulador!$F$47,C240-D240,"")</f>
        <v/>
      </c>
      <c r="I240" s="19" t="str">
        <f>IF(B239&lt;Simulador!$F$47,PMT(Simulador!$F$41+Simulador!$F$43,Simulador!$F$47,-Simulador!$F$37)+G240,"")</f>
        <v/>
      </c>
    </row>
    <row r="241" spans="1:9" ht="17.100000000000001" customHeight="1" x14ac:dyDescent="0.25">
      <c r="A241" s="14"/>
      <c r="B241" s="1" t="str">
        <f>IF(B240&lt;Simulador!$F$47,B240+1,"")</f>
        <v/>
      </c>
      <c r="C241" s="18" t="str">
        <f>IF(B240&lt;Simulador!$F$47,H240,"")</f>
        <v/>
      </c>
      <c r="D241" s="17" t="str">
        <f>IF(Tabla1[[#This Row],[Periodo]]="","",IF(B241&lt;=Simulador!$F$47,PPMT(Simulador!$F$41+Simulador!$F$43,Cronograma!B241,Simulador!$F$47,-Simulador!$F$37),""))</f>
        <v/>
      </c>
      <c r="E241" s="19" t="str">
        <f>IF(B240&lt;Simulador!$F$47,(IPMT(Simulador!$F$41+Simulador!$F$43,Tabla1[[#This Row],[Periodo]],Simulador!$F$47,-Simulador!$F$37)-Tabla1[[#This Row],[Seguro Desgravamen]]),"")</f>
        <v/>
      </c>
      <c r="F241" s="19" t="str">
        <f>IF(B240&lt;Simulador!$F$47,C241*Simulador!$F$43,"")</f>
        <v/>
      </c>
      <c r="G241" s="18" t="str">
        <f>IF(B240&lt;Simulador!$F$47,Simulador!$F$45*Simulador!$F$12/12,"")</f>
        <v/>
      </c>
      <c r="H241" s="19" t="str">
        <f>IF(B240&lt;Simulador!$F$47,C241-D241,"")</f>
        <v/>
      </c>
      <c r="I241" s="19" t="str">
        <f>IF(B240&lt;Simulador!$F$47,PMT(Simulador!$F$41+Simulador!$F$43,Simulador!$F$47,-Simulador!$F$37)+G241,"")</f>
        <v/>
      </c>
    </row>
    <row r="242" spans="1:9" ht="17.100000000000001" customHeight="1" x14ac:dyDescent="0.25">
      <c r="A242" s="14"/>
      <c r="B242" s="1" t="str">
        <f>IF(B241&lt;Simulador!$F$47,B241+1,"")</f>
        <v/>
      </c>
      <c r="C242" s="18" t="str">
        <f>IF(B241&lt;Simulador!$F$47,H241,"")</f>
        <v/>
      </c>
      <c r="D242" s="17" t="str">
        <f>IF(Tabla1[[#This Row],[Periodo]]="","",IF(B242&lt;=Simulador!$F$47,PPMT(Simulador!$F$41+Simulador!$F$43,Cronograma!B242,Simulador!$F$47,-Simulador!$F$37),""))</f>
        <v/>
      </c>
      <c r="E242" s="19" t="str">
        <f>IF(B241&lt;Simulador!$F$47,(IPMT(Simulador!$F$41+Simulador!$F$43,Tabla1[[#This Row],[Periodo]],Simulador!$F$47,-Simulador!$F$37)-Tabla1[[#This Row],[Seguro Desgravamen]]),"")</f>
        <v/>
      </c>
      <c r="F242" s="19" t="str">
        <f>IF(B241&lt;Simulador!$F$47,C242*Simulador!$F$43,"")</f>
        <v/>
      </c>
      <c r="G242" s="18" t="str">
        <f>IF(B241&lt;Simulador!$F$47,Simulador!$F$45*Simulador!$F$12/12,"")</f>
        <v/>
      </c>
      <c r="H242" s="19" t="str">
        <f>IF(B241&lt;Simulador!$F$47,C242-D242,"")</f>
        <v/>
      </c>
      <c r="I242" s="19" t="str">
        <f>IF(B241&lt;Simulador!$F$47,PMT(Simulador!$F$41+Simulador!$F$43,Simulador!$F$47,-Simulador!$F$37)+G242,"")</f>
        <v/>
      </c>
    </row>
    <row r="243" spans="1:9" ht="17.100000000000001" customHeight="1" x14ac:dyDescent="0.25">
      <c r="A243" s="14"/>
      <c r="B243" s="1" t="str">
        <f>IF(B242&lt;Simulador!$F$47,B242+1,"")</f>
        <v/>
      </c>
      <c r="C243" s="18" t="str">
        <f>IF(B242&lt;Simulador!$F$47,H242,"")</f>
        <v/>
      </c>
      <c r="D243" s="17" t="str">
        <f>IF(Tabla1[[#This Row],[Periodo]]="","",IF(B243&lt;=Simulador!$F$47,PPMT(Simulador!$F$41+Simulador!$F$43,Cronograma!B243,Simulador!$F$47,-Simulador!$F$37),""))</f>
        <v/>
      </c>
      <c r="E243" s="19" t="str">
        <f>IF(B242&lt;Simulador!$F$47,(IPMT(Simulador!$F$41+Simulador!$F$43,Tabla1[[#This Row],[Periodo]],Simulador!$F$47,-Simulador!$F$37)-Tabla1[[#This Row],[Seguro Desgravamen]]),"")</f>
        <v/>
      </c>
      <c r="F243" s="19" t="str">
        <f>IF(B242&lt;Simulador!$F$47,C243*Simulador!$F$43,"")</f>
        <v/>
      </c>
      <c r="G243" s="18" t="str">
        <f>IF(B242&lt;Simulador!$F$47,Simulador!$F$45*Simulador!$F$12/12,"")</f>
        <v/>
      </c>
      <c r="H243" s="19" t="str">
        <f>IF(B242&lt;Simulador!$F$47,C243-D243,"")</f>
        <v/>
      </c>
      <c r="I243" s="19" t="str">
        <f>IF(B242&lt;Simulador!$F$47,PMT(Simulador!$F$41+Simulador!$F$43,Simulador!$F$47,-Simulador!$F$37)+G243,"")</f>
        <v/>
      </c>
    </row>
    <row r="244" spans="1:9" ht="17.100000000000001" customHeight="1" x14ac:dyDescent="0.25">
      <c r="A244" s="14"/>
      <c r="B244" s="1" t="str">
        <f>IF(B243&lt;Simulador!$F$47,B243+1,"")</f>
        <v/>
      </c>
      <c r="C244" s="18" t="str">
        <f>IF(B243&lt;Simulador!$F$47,H243,"")</f>
        <v/>
      </c>
      <c r="D244" s="17" t="str">
        <f>IF(Tabla1[[#This Row],[Periodo]]="","",IF(B244&lt;=Simulador!$F$47,PPMT(Simulador!$F$41+Simulador!$F$43,Cronograma!B244,Simulador!$F$47,-Simulador!$F$37),""))</f>
        <v/>
      </c>
      <c r="E244" s="19" t="str">
        <f>IF(B243&lt;Simulador!$F$47,(IPMT(Simulador!$F$41+Simulador!$F$43,Tabla1[[#This Row],[Periodo]],Simulador!$F$47,-Simulador!$F$37)-Tabla1[[#This Row],[Seguro Desgravamen]]),"")</f>
        <v/>
      </c>
      <c r="F244" s="19" t="str">
        <f>IF(B243&lt;Simulador!$F$47,C244*Simulador!$F$43,"")</f>
        <v/>
      </c>
      <c r="G244" s="18" t="str">
        <f>IF(B243&lt;Simulador!$F$47,Simulador!$F$45*Simulador!$F$12/12,"")</f>
        <v/>
      </c>
      <c r="H244" s="19" t="str">
        <f>IF(B243&lt;Simulador!$F$47,C244-D244,"")</f>
        <v/>
      </c>
      <c r="I244" s="19" t="str">
        <f>IF(B243&lt;Simulador!$F$47,PMT(Simulador!$F$41+Simulador!$F$43,Simulador!$F$47,-Simulador!$F$37)+G244,"")</f>
        <v/>
      </c>
    </row>
    <row r="245" spans="1:9" ht="17.100000000000001" customHeight="1" x14ac:dyDescent="0.25">
      <c r="A245" s="14"/>
      <c r="B245" s="1" t="str">
        <f>IF(B244&lt;Simulador!$F$47,B244+1,"")</f>
        <v/>
      </c>
      <c r="C245" s="18" t="str">
        <f>IF(B244&lt;Simulador!$F$47,H244,"")</f>
        <v/>
      </c>
      <c r="D245" s="17" t="str">
        <f>IF(Tabla1[[#This Row],[Periodo]]="","",IF(B245&lt;=Simulador!$F$47,PPMT(Simulador!$F$41+Simulador!$F$43,Cronograma!B245,Simulador!$F$47,-Simulador!$F$37),""))</f>
        <v/>
      </c>
      <c r="E245" s="19" t="str">
        <f>IF(B244&lt;Simulador!$F$47,(IPMT(Simulador!$F$41+Simulador!$F$43,Tabla1[[#This Row],[Periodo]],Simulador!$F$47,-Simulador!$F$37)-Tabla1[[#This Row],[Seguro Desgravamen]]),"")</f>
        <v/>
      </c>
      <c r="F245" s="19" t="str">
        <f>IF(B244&lt;Simulador!$F$47,C245*Simulador!$F$43,"")</f>
        <v/>
      </c>
      <c r="G245" s="18" t="str">
        <f>IF(B244&lt;Simulador!$F$47,Simulador!$F$45*Simulador!$F$12/12,"")</f>
        <v/>
      </c>
      <c r="H245" s="19" t="str">
        <f>IF(B244&lt;Simulador!$F$47,C245-D245,"")</f>
        <v/>
      </c>
      <c r="I245" s="19" t="str">
        <f>IF(B244&lt;Simulador!$F$47,PMT(Simulador!$F$41+Simulador!$F$43,Simulador!$F$47,-Simulador!$F$37)+G245,"")</f>
        <v/>
      </c>
    </row>
    <row r="246" spans="1:9" ht="17.100000000000001" customHeight="1" x14ac:dyDescent="0.25">
      <c r="A246" s="14"/>
      <c r="B246" s="1" t="str">
        <f>IF(B245&lt;Simulador!$F$47,B245+1,"")</f>
        <v/>
      </c>
      <c r="C246" s="18" t="str">
        <f>IF(B245&lt;Simulador!$F$47,H245,"")</f>
        <v/>
      </c>
      <c r="D246" s="17" t="str">
        <f>IF(Tabla1[[#This Row],[Periodo]]="","",IF(B246&lt;=Simulador!$F$47,PPMT(Simulador!$F$41+Simulador!$F$43,Cronograma!B246,Simulador!$F$47,-Simulador!$F$37),""))</f>
        <v/>
      </c>
      <c r="E246" s="19" t="str">
        <f>IF(B245&lt;Simulador!$F$47,(IPMT(Simulador!$F$41+Simulador!$F$43,Tabla1[[#This Row],[Periodo]],Simulador!$F$47,-Simulador!$F$37)-Tabla1[[#This Row],[Seguro Desgravamen]]),"")</f>
        <v/>
      </c>
      <c r="F246" s="19" t="str">
        <f>IF(B245&lt;Simulador!$F$47,C246*Simulador!$F$43,"")</f>
        <v/>
      </c>
      <c r="G246" s="18" t="str">
        <f>IF(B245&lt;Simulador!$F$47,Simulador!$F$45*Simulador!$F$12/12,"")</f>
        <v/>
      </c>
      <c r="H246" s="19" t="str">
        <f>IF(B245&lt;Simulador!$F$47,C246-D246,"")</f>
        <v/>
      </c>
      <c r="I246" s="19" t="str">
        <f>IF(B245&lt;Simulador!$F$47,PMT(Simulador!$F$41+Simulador!$F$43,Simulador!$F$47,-Simulador!$F$37)+G246,"")</f>
        <v/>
      </c>
    </row>
    <row r="247" spans="1:9" ht="17.100000000000001" customHeight="1" x14ac:dyDescent="0.25">
      <c r="A247" s="14"/>
      <c r="B247" s="1" t="str">
        <f>IF(B246&lt;Simulador!$F$47,B246+1,"")</f>
        <v/>
      </c>
      <c r="C247" s="18" t="str">
        <f>IF(B246&lt;Simulador!$F$47,H246,"")</f>
        <v/>
      </c>
      <c r="D247" s="17" t="str">
        <f>IF(Tabla1[[#This Row],[Periodo]]="","",IF(B247&lt;=Simulador!$F$47,PPMT(Simulador!$F$41+Simulador!$F$43,Cronograma!B247,Simulador!$F$47,-Simulador!$F$37),""))</f>
        <v/>
      </c>
      <c r="E247" s="19" t="str">
        <f>IF(B246&lt;Simulador!$F$47,(IPMT(Simulador!$F$41+Simulador!$F$43,Tabla1[[#This Row],[Periodo]],Simulador!$F$47,-Simulador!$F$37)-Tabla1[[#This Row],[Seguro Desgravamen]]),"")</f>
        <v/>
      </c>
      <c r="F247" s="19" t="str">
        <f>IF(B246&lt;Simulador!$F$47,C247*Simulador!$F$43,"")</f>
        <v/>
      </c>
      <c r="G247" s="18" t="str">
        <f>IF(B246&lt;Simulador!$F$47,Simulador!$F$45*Simulador!$F$12/12,"")</f>
        <v/>
      </c>
      <c r="H247" s="19" t="str">
        <f>IF(B246&lt;Simulador!$F$47,C247-D247,"")</f>
        <v/>
      </c>
      <c r="I247" s="19" t="str">
        <f>IF(B246&lt;Simulador!$F$47,PMT(Simulador!$F$41+Simulador!$F$43,Simulador!$F$47,-Simulador!$F$37)+G247,"")</f>
        <v/>
      </c>
    </row>
    <row r="248" spans="1:9" ht="17.100000000000001" customHeight="1" x14ac:dyDescent="0.25">
      <c r="A248" s="14"/>
      <c r="B248" s="1" t="str">
        <f>IF(B247&lt;Simulador!$F$47,B247+1,"")</f>
        <v/>
      </c>
      <c r="C248" s="18" t="str">
        <f>IF(B247&lt;Simulador!$F$47,H247,"")</f>
        <v/>
      </c>
      <c r="D248" s="17" t="str">
        <f>IF(Tabla1[[#This Row],[Periodo]]="","",IF(B248&lt;=Simulador!$F$47,PPMT(Simulador!$F$41+Simulador!$F$43,Cronograma!B248,Simulador!$F$47,-Simulador!$F$37),""))</f>
        <v/>
      </c>
      <c r="E248" s="19" t="str">
        <f>IF(B247&lt;Simulador!$F$47,(IPMT(Simulador!$F$41+Simulador!$F$43,Tabla1[[#This Row],[Periodo]],Simulador!$F$47,-Simulador!$F$37)-Tabla1[[#This Row],[Seguro Desgravamen]]),"")</f>
        <v/>
      </c>
      <c r="F248" s="19" t="str">
        <f>IF(B247&lt;Simulador!$F$47,C248*Simulador!$F$43,"")</f>
        <v/>
      </c>
      <c r="G248" s="18" t="str">
        <f>IF(B247&lt;Simulador!$F$47,Simulador!$F$45*Simulador!$F$12/12,"")</f>
        <v/>
      </c>
      <c r="H248" s="19" t="str">
        <f>IF(B247&lt;Simulador!$F$47,C248-D248,"")</f>
        <v/>
      </c>
      <c r="I248" s="19" t="str">
        <f>IF(B247&lt;Simulador!$F$47,PMT(Simulador!$F$41+Simulador!$F$43,Simulador!$F$47,-Simulador!$F$37)+G248,"")</f>
        <v/>
      </c>
    </row>
    <row r="249" spans="1:9" ht="17.100000000000001" customHeight="1" x14ac:dyDescent="0.25">
      <c r="A249" s="14"/>
      <c r="B249" s="1" t="str">
        <f>IF(B248&lt;Simulador!$F$47,B248+1,"")</f>
        <v/>
      </c>
      <c r="C249" s="18" t="str">
        <f>IF(B248&lt;Simulador!$F$47,H248,"")</f>
        <v/>
      </c>
      <c r="D249" s="17" t="str">
        <f>IF(Tabla1[[#This Row],[Periodo]]="","",IF(B249&lt;=Simulador!$F$47,PPMT(Simulador!$F$41+Simulador!$F$43,Cronograma!B249,Simulador!$F$47,-Simulador!$F$37),""))</f>
        <v/>
      </c>
      <c r="E249" s="19" t="str">
        <f>IF(B248&lt;Simulador!$F$47,(IPMT(Simulador!$F$41+Simulador!$F$43,Tabla1[[#This Row],[Periodo]],Simulador!$F$47,-Simulador!$F$37)-Tabla1[[#This Row],[Seguro Desgravamen]]),"")</f>
        <v/>
      </c>
      <c r="F249" s="19" t="str">
        <f>IF(B248&lt;Simulador!$F$47,C249*Simulador!$F$43,"")</f>
        <v/>
      </c>
      <c r="G249" s="18" t="str">
        <f>IF(B248&lt;Simulador!$F$47,Simulador!$F$45*Simulador!$F$12/12,"")</f>
        <v/>
      </c>
      <c r="H249" s="19" t="str">
        <f>IF(B248&lt;Simulador!$F$47,C249-D249,"")</f>
        <v/>
      </c>
      <c r="I249" s="19" t="str">
        <f>IF(B248&lt;Simulador!$F$47,PMT(Simulador!$F$41+Simulador!$F$43,Simulador!$F$47,-Simulador!$F$37)+G249,"")</f>
        <v/>
      </c>
    </row>
    <row r="250" spans="1:9" ht="17.100000000000001" customHeight="1" x14ac:dyDescent="0.25">
      <c r="A250" s="14"/>
      <c r="B250" s="1" t="str">
        <f>IF(B249&lt;Simulador!$F$47,B249+1,"")</f>
        <v/>
      </c>
      <c r="C250" s="18" t="str">
        <f>IF(B249&lt;Simulador!$F$47,H249,"")</f>
        <v/>
      </c>
      <c r="D250" s="17" t="str">
        <f>IF(Tabla1[[#This Row],[Periodo]]="","",IF(B250&lt;=Simulador!$F$47,PPMT(Simulador!$F$41+Simulador!$F$43,Cronograma!B250,Simulador!$F$47,-Simulador!$F$37),""))</f>
        <v/>
      </c>
      <c r="E250" s="19" t="str">
        <f>IF(B249&lt;Simulador!$F$47,(IPMT(Simulador!$F$41+Simulador!$F$43,Tabla1[[#This Row],[Periodo]],Simulador!$F$47,-Simulador!$F$37)-Tabla1[[#This Row],[Seguro Desgravamen]]),"")</f>
        <v/>
      </c>
      <c r="F250" s="19" t="str">
        <f>IF(B249&lt;Simulador!$F$47,C250*Simulador!$F$43,"")</f>
        <v/>
      </c>
      <c r="G250" s="18" t="str">
        <f>IF(B249&lt;Simulador!$F$47,Simulador!$F$45*Simulador!$F$12/12,"")</f>
        <v/>
      </c>
      <c r="H250" s="19" t="str">
        <f>IF(B249&lt;Simulador!$F$47,C250-D250,"")</f>
        <v/>
      </c>
      <c r="I250" s="19" t="str">
        <f>IF(B249&lt;Simulador!$F$47,PMT(Simulador!$F$41+Simulador!$F$43,Simulador!$F$47,-Simulador!$F$37)+G250,"")</f>
        <v/>
      </c>
    </row>
    <row r="251" spans="1:9" ht="17.100000000000001" customHeight="1" x14ac:dyDescent="0.25">
      <c r="A251" s="14"/>
      <c r="B251" s="1" t="str">
        <f>IF(B250&lt;Simulador!$F$47,B250+1,"")</f>
        <v/>
      </c>
      <c r="C251" s="18" t="str">
        <f>IF(B250&lt;Simulador!$F$47,H250,"")</f>
        <v/>
      </c>
      <c r="D251" s="17" t="str">
        <f>IF(Tabla1[[#This Row],[Periodo]]="","",IF(B251&lt;=Simulador!$F$47,PPMT(Simulador!$F$41+Simulador!$F$43,Cronograma!B251,Simulador!$F$47,-Simulador!$F$37),""))</f>
        <v/>
      </c>
      <c r="E251" s="19" t="str">
        <f>IF(B250&lt;Simulador!$F$47,(IPMT(Simulador!$F$41+Simulador!$F$43,Tabla1[[#This Row],[Periodo]],Simulador!$F$47,-Simulador!$F$37)-Tabla1[[#This Row],[Seguro Desgravamen]]),"")</f>
        <v/>
      </c>
      <c r="F251" s="19" t="str">
        <f>IF(B250&lt;Simulador!$F$47,C251*Simulador!$F$43,"")</f>
        <v/>
      </c>
      <c r="G251" s="18" t="str">
        <f>IF(B250&lt;Simulador!$F$47,Simulador!$F$45*Simulador!$F$12/12,"")</f>
        <v/>
      </c>
      <c r="H251" s="19" t="str">
        <f>IF(B250&lt;Simulador!$F$47,C251-D251,"")</f>
        <v/>
      </c>
      <c r="I251" s="19" t="str">
        <f>IF(B250&lt;Simulador!$F$47,PMT(Simulador!$F$41+Simulador!$F$43,Simulador!$F$47,-Simulador!$F$37)+G251,"")</f>
        <v/>
      </c>
    </row>
    <row r="252" spans="1:9" ht="17.100000000000001" customHeight="1" x14ac:dyDescent="0.25">
      <c r="A252" s="14"/>
      <c r="B252" s="1" t="str">
        <f>IF(B251&lt;Simulador!$F$47,B251+1,"")</f>
        <v/>
      </c>
      <c r="C252" s="18" t="str">
        <f>IF(B251&lt;Simulador!$F$47,H251,"")</f>
        <v/>
      </c>
      <c r="D252" s="17" t="str">
        <f>IF(Tabla1[[#This Row],[Periodo]]="","",IF(B252&lt;=Simulador!$F$47,PPMT(Simulador!$F$41+Simulador!$F$43,Cronograma!B252,Simulador!$F$47,-Simulador!$F$37),""))</f>
        <v/>
      </c>
      <c r="E252" s="19" t="str">
        <f>IF(B251&lt;Simulador!$F$47,(IPMT(Simulador!$F$41+Simulador!$F$43,Tabla1[[#This Row],[Periodo]],Simulador!$F$47,-Simulador!$F$37)-Tabla1[[#This Row],[Seguro Desgravamen]]),"")</f>
        <v/>
      </c>
      <c r="F252" s="19" t="str">
        <f>IF(B251&lt;Simulador!$F$47,C252*Simulador!$F$43,"")</f>
        <v/>
      </c>
      <c r="G252" s="18" t="str">
        <f>IF(B251&lt;Simulador!$F$47,Simulador!$F$45*Simulador!$F$12/12,"")</f>
        <v/>
      </c>
      <c r="H252" s="19" t="str">
        <f>IF(B251&lt;Simulador!$F$47,C252-D252,"")</f>
        <v/>
      </c>
      <c r="I252" s="19" t="str">
        <f>IF(B251&lt;Simulador!$F$47,PMT(Simulador!$F$41+Simulador!$F$43,Simulador!$F$47,-Simulador!$F$37)+G252,"")</f>
        <v/>
      </c>
    </row>
    <row r="253" spans="1:9" ht="17.100000000000001" customHeight="1" x14ac:dyDescent="0.25">
      <c r="A253" s="14"/>
      <c r="B253" s="1" t="str">
        <f>IF(B252&lt;Simulador!$F$47,B252+1,"")</f>
        <v/>
      </c>
      <c r="C253" s="18" t="str">
        <f>IF(B252&lt;Simulador!$F$47,H252,"")</f>
        <v/>
      </c>
      <c r="D253" s="17" t="str">
        <f>IF(Tabla1[[#This Row],[Periodo]]="","",IF(B253&lt;=Simulador!$F$47,PPMT(Simulador!$F$41+Simulador!$F$43,Cronograma!B253,Simulador!$F$47,-Simulador!$F$37),""))</f>
        <v/>
      </c>
      <c r="E253" s="19" t="str">
        <f>IF(B252&lt;Simulador!$F$47,(IPMT(Simulador!$F$41+Simulador!$F$43,Tabla1[[#This Row],[Periodo]],Simulador!$F$47,-Simulador!$F$37)-Tabla1[[#This Row],[Seguro Desgravamen]]),"")</f>
        <v/>
      </c>
      <c r="F253" s="19" t="str">
        <f>IF(B252&lt;Simulador!$F$47,C253*Simulador!$F$43,"")</f>
        <v/>
      </c>
      <c r="G253" s="18" t="str">
        <f>IF(B252&lt;Simulador!$F$47,Simulador!$F$45*Simulador!$F$12/12,"")</f>
        <v/>
      </c>
      <c r="H253" s="19" t="str">
        <f>IF(B252&lt;Simulador!$F$47,C253-D253,"")</f>
        <v/>
      </c>
      <c r="I253" s="19" t="str">
        <f>IF(B252&lt;Simulador!$F$47,PMT(Simulador!$F$41+Simulador!$F$43,Simulador!$F$47,-Simulador!$F$37)+G253,"")</f>
        <v/>
      </c>
    </row>
    <row r="254" spans="1:9" ht="17.100000000000001" customHeight="1" x14ac:dyDescent="0.25">
      <c r="A254" s="14"/>
      <c r="B254" s="1" t="str">
        <f>IF(B253&lt;Simulador!$F$47,B253+1,"")</f>
        <v/>
      </c>
      <c r="C254" s="18" t="str">
        <f>IF(B253&lt;Simulador!$F$47,H253,"")</f>
        <v/>
      </c>
      <c r="D254" s="17" t="str">
        <f>IF(Tabla1[[#This Row],[Periodo]]="","",IF(B254&lt;=Simulador!$F$47,PPMT(Simulador!$F$41+Simulador!$F$43,Cronograma!B254,Simulador!$F$47,-Simulador!$F$37),""))</f>
        <v/>
      </c>
      <c r="E254" s="19" t="str">
        <f>IF(B253&lt;Simulador!$F$47,(IPMT(Simulador!$F$41+Simulador!$F$43,Tabla1[[#This Row],[Periodo]],Simulador!$F$47,-Simulador!$F$37)-Tabla1[[#This Row],[Seguro Desgravamen]]),"")</f>
        <v/>
      </c>
      <c r="F254" s="19" t="str">
        <f>IF(B253&lt;Simulador!$F$47,C254*Simulador!$F$43,"")</f>
        <v/>
      </c>
      <c r="G254" s="18" t="str">
        <f>IF(B253&lt;Simulador!$F$47,Simulador!$F$45*Simulador!$F$12/12,"")</f>
        <v/>
      </c>
      <c r="H254" s="19" t="str">
        <f>IF(B253&lt;Simulador!$F$47,C254-D254,"")</f>
        <v/>
      </c>
      <c r="I254" s="19" t="str">
        <f>IF(B253&lt;Simulador!$F$47,PMT(Simulador!$F$41+Simulador!$F$43,Simulador!$F$47,-Simulador!$F$37)+G254,"")</f>
        <v/>
      </c>
    </row>
    <row r="255" spans="1:9" ht="17.100000000000001" customHeight="1" x14ac:dyDescent="0.25">
      <c r="A255" s="14"/>
      <c r="B255" s="1" t="str">
        <f>IF(B254&lt;Simulador!$F$47,B254+1,"")</f>
        <v/>
      </c>
      <c r="C255" s="18" t="str">
        <f>IF(B254&lt;Simulador!$F$47,H254,"")</f>
        <v/>
      </c>
      <c r="D255" s="17" t="str">
        <f>IF(Tabla1[[#This Row],[Periodo]]="","",IF(B255&lt;=Simulador!$F$47,PPMT(Simulador!$F$41+Simulador!$F$43,Cronograma!B255,Simulador!$F$47,-Simulador!$F$37),""))</f>
        <v/>
      </c>
      <c r="E255" s="19" t="str">
        <f>IF(B254&lt;Simulador!$F$47,(IPMT(Simulador!$F$41+Simulador!$F$43,Tabla1[[#This Row],[Periodo]],Simulador!$F$47,-Simulador!$F$37)-Tabla1[[#This Row],[Seguro Desgravamen]]),"")</f>
        <v/>
      </c>
      <c r="F255" s="19" t="str">
        <f>IF(B254&lt;Simulador!$F$47,C255*Simulador!$F$43,"")</f>
        <v/>
      </c>
      <c r="G255" s="18" t="str">
        <f>IF(B254&lt;Simulador!$F$47,Simulador!$F$45*Simulador!$F$12/12,"")</f>
        <v/>
      </c>
      <c r="H255" s="19" t="str">
        <f>IF(B254&lt;Simulador!$F$47,C255-D255,"")</f>
        <v/>
      </c>
      <c r="I255" s="19" t="str">
        <f>IF(B254&lt;Simulador!$F$47,PMT(Simulador!$F$41+Simulador!$F$43,Simulador!$F$47,-Simulador!$F$37)+G255,"")</f>
        <v/>
      </c>
    </row>
    <row r="256" spans="1:9" ht="17.100000000000001" customHeight="1" x14ac:dyDescent="0.25">
      <c r="A256" s="14"/>
      <c r="B256" s="1" t="str">
        <f>IF(B255&lt;Simulador!$F$47,B255+1,"")</f>
        <v/>
      </c>
      <c r="C256" s="18" t="str">
        <f>IF(B255&lt;Simulador!$F$47,H255,"")</f>
        <v/>
      </c>
      <c r="D256" s="17" t="str">
        <f>IF(Tabla1[[#This Row],[Periodo]]="","",IF(B256&lt;=Simulador!$F$47,PPMT(Simulador!$F$41+Simulador!$F$43,Cronograma!B256,Simulador!$F$47,-Simulador!$F$37),""))</f>
        <v/>
      </c>
      <c r="E256" s="19" t="str">
        <f>IF(B255&lt;Simulador!$F$47,(IPMT(Simulador!$F$41+Simulador!$F$43,Tabla1[[#This Row],[Periodo]],Simulador!$F$47,-Simulador!$F$37)-Tabla1[[#This Row],[Seguro Desgravamen]]),"")</f>
        <v/>
      </c>
      <c r="F256" s="19" t="str">
        <f>IF(B255&lt;Simulador!$F$47,C256*Simulador!$F$43,"")</f>
        <v/>
      </c>
      <c r="G256" s="18" t="str">
        <f>IF(B255&lt;Simulador!$F$47,Simulador!$F$45*Simulador!$F$12/12,"")</f>
        <v/>
      </c>
      <c r="H256" s="19" t="str">
        <f>IF(B255&lt;Simulador!$F$47,C256-D256,"")</f>
        <v/>
      </c>
      <c r="I256" s="19" t="str">
        <f>IF(B255&lt;Simulador!$F$47,PMT(Simulador!$F$41+Simulador!$F$43,Simulador!$F$47,-Simulador!$F$37)+G256,"")</f>
        <v/>
      </c>
    </row>
    <row r="257" spans="1:9" ht="17.100000000000001" customHeight="1" x14ac:dyDescent="0.25">
      <c r="A257" s="14"/>
      <c r="B257" s="1" t="str">
        <f>IF(B256&lt;Simulador!$F$47,B256+1,"")</f>
        <v/>
      </c>
      <c r="C257" s="18" t="str">
        <f>IF(B256&lt;Simulador!$F$47,H256,"")</f>
        <v/>
      </c>
      <c r="D257" s="17" t="str">
        <f>IF(Tabla1[[#This Row],[Periodo]]="","",IF(B257&lt;=Simulador!$F$47,PPMT(Simulador!$F$41+Simulador!$F$43,Cronograma!B257,Simulador!$F$47,-Simulador!$F$37),""))</f>
        <v/>
      </c>
      <c r="E257" s="19" t="str">
        <f>IF(B256&lt;Simulador!$F$47,(IPMT(Simulador!$F$41+Simulador!$F$43,Tabla1[[#This Row],[Periodo]],Simulador!$F$47,-Simulador!$F$37)-Tabla1[[#This Row],[Seguro Desgravamen]]),"")</f>
        <v/>
      </c>
      <c r="F257" s="19" t="str">
        <f>IF(B256&lt;Simulador!$F$47,C257*Simulador!$F$43,"")</f>
        <v/>
      </c>
      <c r="G257" s="18" t="str">
        <f>IF(B256&lt;Simulador!$F$47,Simulador!$F$45*Simulador!$F$12/12,"")</f>
        <v/>
      </c>
      <c r="H257" s="19" t="str">
        <f>IF(B256&lt;Simulador!$F$47,C257-D257,"")</f>
        <v/>
      </c>
      <c r="I257" s="19" t="str">
        <f>IF(B256&lt;Simulador!$F$47,PMT(Simulador!$F$41+Simulador!$F$43,Simulador!$F$47,-Simulador!$F$37)+G257,"")</f>
        <v/>
      </c>
    </row>
    <row r="258" spans="1:9" ht="17.100000000000001" customHeight="1" x14ac:dyDescent="0.25">
      <c r="A258" s="14"/>
      <c r="B258" s="1" t="str">
        <f>IF(B257&lt;Simulador!$F$47,B257+1,"")</f>
        <v/>
      </c>
      <c r="C258" s="18" t="str">
        <f>IF(B257&lt;Simulador!$F$47,H257,"")</f>
        <v/>
      </c>
      <c r="D258" s="17" t="str">
        <f>IF(Tabla1[[#This Row],[Periodo]]="","",IF(B258&lt;=Simulador!$F$47,PPMT(Simulador!$F$41+Simulador!$F$43,Cronograma!B258,Simulador!$F$47,-Simulador!$F$37),""))</f>
        <v/>
      </c>
      <c r="E258" s="19" t="str">
        <f>IF(B257&lt;Simulador!$F$47,(IPMT(Simulador!$F$41+Simulador!$F$43,Tabla1[[#This Row],[Periodo]],Simulador!$F$47,-Simulador!$F$37)-Tabla1[[#This Row],[Seguro Desgravamen]]),"")</f>
        <v/>
      </c>
      <c r="F258" s="19" t="str">
        <f>IF(B257&lt;Simulador!$F$47,C258*Simulador!$F$43,"")</f>
        <v/>
      </c>
      <c r="G258" s="18" t="str">
        <f>IF(B257&lt;Simulador!$F$47,Simulador!$F$45*Simulador!$F$12/12,"")</f>
        <v/>
      </c>
      <c r="H258" s="19" t="str">
        <f>IF(B257&lt;Simulador!$F$47,C258-D258,"")</f>
        <v/>
      </c>
      <c r="I258" s="19" t="str">
        <f>IF(B257&lt;Simulador!$F$47,PMT(Simulador!$F$41+Simulador!$F$43,Simulador!$F$47,-Simulador!$F$37)+G258,"")</f>
        <v/>
      </c>
    </row>
    <row r="259" spans="1:9" ht="17.100000000000001" customHeight="1" x14ac:dyDescent="0.25">
      <c r="A259" s="14"/>
      <c r="B259" s="1" t="str">
        <f>IF(B258&lt;Simulador!$F$47,B258+1,"")</f>
        <v/>
      </c>
      <c r="C259" s="18" t="str">
        <f>IF(B258&lt;Simulador!$F$47,H258,"")</f>
        <v/>
      </c>
      <c r="D259" s="17" t="str">
        <f>IF(Tabla1[[#This Row],[Periodo]]="","",IF(B259&lt;=Simulador!$F$47,PPMT(Simulador!$F$41+Simulador!$F$43,Cronograma!B259,Simulador!$F$47,-Simulador!$F$37),""))</f>
        <v/>
      </c>
      <c r="E259" s="19" t="str">
        <f>IF(B258&lt;Simulador!$F$47,(IPMT(Simulador!$F$41+Simulador!$F$43,Tabla1[[#This Row],[Periodo]],Simulador!$F$47,-Simulador!$F$37)-Tabla1[[#This Row],[Seguro Desgravamen]]),"")</f>
        <v/>
      </c>
      <c r="F259" s="19" t="str">
        <f>IF(B258&lt;Simulador!$F$47,C259*Simulador!$F$43,"")</f>
        <v/>
      </c>
      <c r="G259" s="18" t="str">
        <f>IF(B258&lt;Simulador!$F$47,Simulador!$F$45*Simulador!$F$12/12,"")</f>
        <v/>
      </c>
      <c r="H259" s="19" t="str">
        <f>IF(B258&lt;Simulador!$F$47,C259-D259,"")</f>
        <v/>
      </c>
      <c r="I259" s="19" t="str">
        <f>IF(B258&lt;Simulador!$F$47,PMT(Simulador!$F$41+Simulador!$F$43,Simulador!$F$47,-Simulador!$F$37)+G259,"")</f>
        <v/>
      </c>
    </row>
    <row r="260" spans="1:9" ht="17.100000000000001" customHeight="1" x14ac:dyDescent="0.25">
      <c r="A260" s="14"/>
      <c r="B260" s="1" t="str">
        <f>IF(B259&lt;Simulador!$F$47,B259+1,"")</f>
        <v/>
      </c>
      <c r="C260" s="18" t="str">
        <f>IF(B259&lt;Simulador!$F$47,H259,"")</f>
        <v/>
      </c>
      <c r="D260" s="17" t="str">
        <f>IF(Tabla1[[#This Row],[Periodo]]="","",IF(B260&lt;=Simulador!$F$47,PPMT(Simulador!$F$41+Simulador!$F$43,Cronograma!B260,Simulador!$F$47,-Simulador!$F$37),""))</f>
        <v/>
      </c>
      <c r="E260" s="19" t="str">
        <f>IF(B259&lt;Simulador!$F$47,(IPMT(Simulador!$F$41+Simulador!$F$43,Tabla1[[#This Row],[Periodo]],Simulador!$F$47,-Simulador!$F$37)-Tabla1[[#This Row],[Seguro Desgravamen]]),"")</f>
        <v/>
      </c>
      <c r="F260" s="19" t="str">
        <f>IF(B259&lt;Simulador!$F$47,C260*Simulador!$F$43,"")</f>
        <v/>
      </c>
      <c r="G260" s="18" t="str">
        <f>IF(B259&lt;Simulador!$F$47,Simulador!$F$45*Simulador!$F$12/12,"")</f>
        <v/>
      </c>
      <c r="H260" s="19" t="str">
        <f>IF(B259&lt;Simulador!$F$47,C260-D260,"")</f>
        <v/>
      </c>
      <c r="I260" s="19" t="str">
        <f>IF(B259&lt;Simulador!$F$47,PMT(Simulador!$F$41+Simulador!$F$43,Simulador!$F$47,-Simulador!$F$37)+G260,"")</f>
        <v/>
      </c>
    </row>
    <row r="261" spans="1:9" ht="17.100000000000001" customHeight="1" x14ac:dyDescent="0.25">
      <c r="A261" s="14"/>
      <c r="B261" s="1" t="str">
        <f>IF(B260&lt;Simulador!$F$47,B260+1,"")</f>
        <v/>
      </c>
      <c r="C261" s="18" t="str">
        <f>IF(B260&lt;Simulador!$F$47,H260,"")</f>
        <v/>
      </c>
      <c r="D261" s="17" t="str">
        <f>IF(Tabla1[[#This Row],[Periodo]]="","",IF(B261&lt;=Simulador!$F$47,PPMT(Simulador!$F$41+Simulador!$F$43,Cronograma!B261,Simulador!$F$47,-Simulador!$F$37),""))</f>
        <v/>
      </c>
      <c r="E261" s="19" t="str">
        <f>IF(B260&lt;Simulador!$F$47,(IPMT(Simulador!$F$41+Simulador!$F$43,Tabla1[[#This Row],[Periodo]],Simulador!$F$47,-Simulador!$F$37)-Tabla1[[#This Row],[Seguro Desgravamen]]),"")</f>
        <v/>
      </c>
      <c r="F261" s="19" t="str">
        <f>IF(B260&lt;Simulador!$F$47,C261*Simulador!$F$43,"")</f>
        <v/>
      </c>
      <c r="G261" s="18" t="str">
        <f>IF(B260&lt;Simulador!$F$47,Simulador!$F$45*Simulador!$F$12/12,"")</f>
        <v/>
      </c>
      <c r="H261" s="19" t="str">
        <f>IF(B260&lt;Simulador!$F$47,C261-D261,"")</f>
        <v/>
      </c>
      <c r="I261" s="19" t="str">
        <f>IF(B260&lt;Simulador!$F$47,PMT(Simulador!$F$41+Simulador!$F$43,Simulador!$F$47,-Simulador!$F$37)+G261,"")</f>
        <v/>
      </c>
    </row>
    <row r="262" spans="1:9" ht="17.100000000000001" customHeight="1" x14ac:dyDescent="0.25">
      <c r="A262" s="14"/>
      <c r="B262" s="1" t="str">
        <f>IF(B261&lt;Simulador!$F$47,B261+1,"")</f>
        <v/>
      </c>
      <c r="C262" s="18" t="str">
        <f>IF(B261&lt;Simulador!$F$47,H261,"")</f>
        <v/>
      </c>
      <c r="D262" s="17" t="str">
        <f>IF(Tabla1[[#This Row],[Periodo]]="","",IF(B262&lt;=Simulador!$F$47,PPMT(Simulador!$F$41+Simulador!$F$43,Cronograma!B262,Simulador!$F$47,-Simulador!$F$37),""))</f>
        <v/>
      </c>
      <c r="E262" s="19" t="str">
        <f>IF(B261&lt;Simulador!$F$47,(IPMT(Simulador!$F$41+Simulador!$F$43,Tabla1[[#This Row],[Periodo]],Simulador!$F$47,-Simulador!$F$37)-Tabla1[[#This Row],[Seguro Desgravamen]]),"")</f>
        <v/>
      </c>
      <c r="F262" s="19" t="str">
        <f>IF(B261&lt;Simulador!$F$47,C262*Simulador!$F$43,"")</f>
        <v/>
      </c>
      <c r="G262" s="18" t="str">
        <f>IF(B261&lt;Simulador!$F$47,Simulador!$F$45*Simulador!$F$12/12,"")</f>
        <v/>
      </c>
      <c r="H262" s="19" t="str">
        <f>IF(B261&lt;Simulador!$F$47,C262-D262,"")</f>
        <v/>
      </c>
      <c r="I262" s="19" t="str">
        <f>IF(B261&lt;Simulador!$F$47,PMT(Simulador!$F$41+Simulador!$F$43,Simulador!$F$47,-Simulador!$F$37)+G262,"")</f>
        <v/>
      </c>
    </row>
    <row r="263" spans="1:9" ht="17.100000000000001" customHeight="1" x14ac:dyDescent="0.25">
      <c r="A263" s="14"/>
      <c r="B263" s="1" t="str">
        <f>IF(B262&lt;Simulador!$F$47,B262+1,"")</f>
        <v/>
      </c>
      <c r="C263" s="18" t="str">
        <f>IF(B262&lt;Simulador!$F$47,H262,"")</f>
        <v/>
      </c>
      <c r="D263" s="17" t="str">
        <f>IF(Tabla1[[#This Row],[Periodo]]="","",IF(B263&lt;=Simulador!$F$47,PPMT(Simulador!$F$41+Simulador!$F$43,Cronograma!B263,Simulador!$F$47,-Simulador!$F$37),""))</f>
        <v/>
      </c>
      <c r="E263" s="19" t="str">
        <f>IF(B262&lt;Simulador!$F$47,(IPMT(Simulador!$F$41+Simulador!$F$43,Tabla1[[#This Row],[Periodo]],Simulador!$F$47,-Simulador!$F$37)-Tabla1[[#This Row],[Seguro Desgravamen]]),"")</f>
        <v/>
      </c>
      <c r="F263" s="19" t="str">
        <f>IF(B262&lt;Simulador!$F$47,C263*Simulador!$F$43,"")</f>
        <v/>
      </c>
      <c r="G263" s="18" t="str">
        <f>IF(B262&lt;Simulador!$F$47,Simulador!$F$45*Simulador!$F$12/12,"")</f>
        <v/>
      </c>
      <c r="H263" s="19" t="str">
        <f>IF(B262&lt;Simulador!$F$47,C263-D263,"")</f>
        <v/>
      </c>
      <c r="I263" s="19" t="str">
        <f>IF(B262&lt;Simulador!$F$47,PMT(Simulador!$F$41+Simulador!$F$43,Simulador!$F$47,-Simulador!$F$37)+G263,"")</f>
        <v/>
      </c>
    </row>
    <row r="264" spans="1:9" ht="17.100000000000001" customHeight="1" x14ac:dyDescent="0.25">
      <c r="A264" s="14"/>
      <c r="B264" s="1" t="str">
        <f>IF(B263&lt;Simulador!$F$47,B263+1,"")</f>
        <v/>
      </c>
      <c r="C264" s="18" t="str">
        <f>IF(B263&lt;Simulador!$F$47,H263,"")</f>
        <v/>
      </c>
      <c r="D264" s="17" t="str">
        <f>IF(Tabla1[[#This Row],[Periodo]]="","",IF(B264&lt;=Simulador!$F$47,PPMT(Simulador!$F$41+Simulador!$F$43,Cronograma!B264,Simulador!$F$47,-Simulador!$F$37),""))</f>
        <v/>
      </c>
      <c r="E264" s="19" t="str">
        <f>IF(B263&lt;Simulador!$F$47,(IPMT(Simulador!$F$41+Simulador!$F$43,Tabla1[[#This Row],[Periodo]],Simulador!$F$47,-Simulador!$F$37)-Tabla1[[#This Row],[Seguro Desgravamen]]),"")</f>
        <v/>
      </c>
      <c r="F264" s="19" t="str">
        <f>IF(B263&lt;Simulador!$F$47,C264*Simulador!$F$43,"")</f>
        <v/>
      </c>
      <c r="G264" s="18" t="str">
        <f>IF(B263&lt;Simulador!$F$47,Simulador!$F$45*Simulador!$F$12/12,"")</f>
        <v/>
      </c>
      <c r="H264" s="19" t="str">
        <f>IF(B263&lt;Simulador!$F$47,C264-D264,"")</f>
        <v/>
      </c>
      <c r="I264" s="19" t="str">
        <f>IF(B263&lt;Simulador!$F$47,PMT(Simulador!$F$41+Simulador!$F$43,Simulador!$F$47,-Simulador!$F$37)+G264,"")</f>
        <v/>
      </c>
    </row>
    <row r="265" spans="1:9" ht="17.100000000000001" customHeight="1" x14ac:dyDescent="0.25">
      <c r="A265" s="14"/>
      <c r="B265" s="1" t="str">
        <f>IF(B264&lt;Simulador!$F$47,B264+1,"")</f>
        <v/>
      </c>
      <c r="C265" s="18" t="str">
        <f>IF(B264&lt;Simulador!$F$47,H264,"")</f>
        <v/>
      </c>
      <c r="D265" s="17" t="str">
        <f>IF(Tabla1[[#This Row],[Periodo]]="","",IF(B265&lt;=Simulador!$F$47,PPMT(Simulador!$F$41+Simulador!$F$43,Cronograma!B265,Simulador!$F$47,-Simulador!$F$37),""))</f>
        <v/>
      </c>
      <c r="E265" s="19" t="str">
        <f>IF(B264&lt;Simulador!$F$47,(IPMT(Simulador!$F$41+Simulador!$F$43,Tabla1[[#This Row],[Periodo]],Simulador!$F$47,-Simulador!$F$37)-Tabla1[[#This Row],[Seguro Desgravamen]]),"")</f>
        <v/>
      </c>
      <c r="F265" s="19" t="str">
        <f>IF(B264&lt;Simulador!$F$47,C265*Simulador!$F$43,"")</f>
        <v/>
      </c>
      <c r="G265" s="18" t="str">
        <f>IF(B264&lt;Simulador!$F$47,Simulador!$F$45*Simulador!$F$12/12,"")</f>
        <v/>
      </c>
      <c r="H265" s="19" t="str">
        <f>IF(B264&lt;Simulador!$F$47,C265-D265,"")</f>
        <v/>
      </c>
      <c r="I265" s="19" t="str">
        <f>IF(B264&lt;Simulador!$F$47,PMT(Simulador!$F$41+Simulador!$F$43,Simulador!$F$47,-Simulador!$F$37)+G265,"")</f>
        <v/>
      </c>
    </row>
    <row r="266" spans="1:9" ht="17.100000000000001" customHeight="1" x14ac:dyDescent="0.25">
      <c r="A266" s="14"/>
      <c r="B266" s="1" t="str">
        <f>IF(B265&lt;Simulador!$F$47,B265+1,"")</f>
        <v/>
      </c>
      <c r="C266" s="18" t="str">
        <f>IF(B265&lt;Simulador!$F$47,H265,"")</f>
        <v/>
      </c>
      <c r="D266" s="17" t="str">
        <f>IF(Tabla1[[#This Row],[Periodo]]="","",IF(B266&lt;=Simulador!$F$47,PPMT(Simulador!$F$41+Simulador!$F$43,Cronograma!B266,Simulador!$F$47,-Simulador!$F$37),""))</f>
        <v/>
      </c>
      <c r="E266" s="19" t="str">
        <f>IF(B265&lt;Simulador!$F$47,(IPMT(Simulador!$F$41+Simulador!$F$43,Tabla1[[#This Row],[Periodo]],Simulador!$F$47,-Simulador!$F$37)-Tabla1[[#This Row],[Seguro Desgravamen]]),"")</f>
        <v/>
      </c>
      <c r="F266" s="19" t="str">
        <f>IF(B265&lt;Simulador!$F$47,C266*Simulador!$F$43,"")</f>
        <v/>
      </c>
      <c r="G266" s="18" t="str">
        <f>IF(B265&lt;Simulador!$F$47,Simulador!$F$45*Simulador!$F$12/12,"")</f>
        <v/>
      </c>
      <c r="H266" s="19" t="str">
        <f>IF(B265&lt;Simulador!$F$47,C266-D266,"")</f>
        <v/>
      </c>
      <c r="I266" s="19" t="str">
        <f>IF(B265&lt;Simulador!$F$47,PMT(Simulador!$F$41+Simulador!$F$43,Simulador!$F$47,-Simulador!$F$37)+G266,"")</f>
        <v/>
      </c>
    </row>
    <row r="267" spans="1:9" ht="17.100000000000001" customHeight="1" x14ac:dyDescent="0.25">
      <c r="A267" s="14"/>
      <c r="B267" s="1" t="str">
        <f>IF(B266&lt;Simulador!$F$47,B266+1,"")</f>
        <v/>
      </c>
      <c r="C267" s="18" t="str">
        <f>IF(B266&lt;Simulador!$F$47,H266,"")</f>
        <v/>
      </c>
      <c r="D267" s="17" t="str">
        <f>IF(Tabla1[[#This Row],[Periodo]]="","",IF(B267&lt;=Simulador!$F$47,PPMT(Simulador!$F$41+Simulador!$F$43,Cronograma!B267,Simulador!$F$47,-Simulador!$F$37),""))</f>
        <v/>
      </c>
      <c r="E267" s="19" t="str">
        <f>IF(B266&lt;Simulador!$F$47,(IPMT(Simulador!$F$41+Simulador!$F$43,Tabla1[[#This Row],[Periodo]],Simulador!$F$47,-Simulador!$F$37)-Tabla1[[#This Row],[Seguro Desgravamen]]),"")</f>
        <v/>
      </c>
      <c r="F267" s="19" t="str">
        <f>IF(B266&lt;Simulador!$F$47,C267*Simulador!$F$43,"")</f>
        <v/>
      </c>
      <c r="G267" s="18" t="str">
        <f>IF(B266&lt;Simulador!$F$47,Simulador!$F$45*Simulador!$F$12/12,"")</f>
        <v/>
      </c>
      <c r="H267" s="19" t="str">
        <f>IF(B266&lt;Simulador!$F$47,C267-D267,"")</f>
        <v/>
      </c>
      <c r="I267" s="19" t="str">
        <f>IF(B266&lt;Simulador!$F$47,PMT(Simulador!$F$41+Simulador!$F$43,Simulador!$F$47,-Simulador!$F$37)+G267,"")</f>
        <v/>
      </c>
    </row>
    <row r="268" spans="1:9" ht="17.100000000000001" customHeight="1" x14ac:dyDescent="0.25">
      <c r="A268" s="14"/>
      <c r="B268" s="1" t="str">
        <f>IF(B267&lt;Simulador!$F$47,B267+1,"")</f>
        <v/>
      </c>
      <c r="C268" s="18" t="str">
        <f>IF(B267&lt;Simulador!$F$47,H267,"")</f>
        <v/>
      </c>
      <c r="D268" s="17" t="str">
        <f>IF(Tabla1[[#This Row],[Periodo]]="","",IF(B268&lt;=Simulador!$F$47,PPMT(Simulador!$F$41+Simulador!$F$43,Cronograma!B268,Simulador!$F$47,-Simulador!$F$37),""))</f>
        <v/>
      </c>
      <c r="E268" s="19" t="str">
        <f>IF(B267&lt;Simulador!$F$47,(IPMT(Simulador!$F$41+Simulador!$F$43,Tabla1[[#This Row],[Periodo]],Simulador!$F$47,-Simulador!$F$37)-Tabla1[[#This Row],[Seguro Desgravamen]]),"")</f>
        <v/>
      </c>
      <c r="F268" s="19" t="str">
        <f>IF(B267&lt;Simulador!$F$47,C268*Simulador!$F$43,"")</f>
        <v/>
      </c>
      <c r="G268" s="18" t="str">
        <f>IF(B267&lt;Simulador!$F$47,Simulador!$F$45*Simulador!$F$12/12,"")</f>
        <v/>
      </c>
      <c r="H268" s="19" t="str">
        <f>IF(B267&lt;Simulador!$F$47,C268-D268,"")</f>
        <v/>
      </c>
      <c r="I268" s="19" t="str">
        <f>IF(B267&lt;Simulador!$F$47,PMT(Simulador!$F$41+Simulador!$F$43,Simulador!$F$47,-Simulador!$F$37)+G268,"")</f>
        <v/>
      </c>
    </row>
    <row r="269" spans="1:9" ht="17.100000000000001" customHeight="1" x14ac:dyDescent="0.25">
      <c r="A269" s="14"/>
      <c r="B269" s="1" t="str">
        <f>IF(B268&lt;Simulador!$F$47,B268+1,"")</f>
        <v/>
      </c>
      <c r="C269" s="18" t="str">
        <f>IF(B268&lt;Simulador!$F$47,H268,"")</f>
        <v/>
      </c>
      <c r="D269" s="17" t="str">
        <f>IF(Tabla1[[#This Row],[Periodo]]="","",IF(B269&lt;=Simulador!$F$47,PPMT(Simulador!$F$41+Simulador!$F$43,Cronograma!B269,Simulador!$F$47,-Simulador!$F$37),""))</f>
        <v/>
      </c>
      <c r="E269" s="19" t="str">
        <f>IF(B268&lt;Simulador!$F$47,(IPMT(Simulador!$F$41+Simulador!$F$43,Tabla1[[#This Row],[Periodo]],Simulador!$F$47,-Simulador!$F$37)-Tabla1[[#This Row],[Seguro Desgravamen]]),"")</f>
        <v/>
      </c>
      <c r="F269" s="19" t="str">
        <f>IF(B268&lt;Simulador!$F$47,C269*Simulador!$F$43,"")</f>
        <v/>
      </c>
      <c r="G269" s="18" t="str">
        <f>IF(B268&lt;Simulador!$F$47,Simulador!$F$45*Simulador!$F$12/12,"")</f>
        <v/>
      </c>
      <c r="H269" s="19" t="str">
        <f>IF(B268&lt;Simulador!$F$47,C269-D269,"")</f>
        <v/>
      </c>
      <c r="I269" s="19" t="str">
        <f>IF(B268&lt;Simulador!$F$47,PMT(Simulador!$F$41+Simulador!$F$43,Simulador!$F$47,-Simulador!$F$37)+G269,"")</f>
        <v/>
      </c>
    </row>
    <row r="270" spans="1:9" ht="17.100000000000001" customHeight="1" x14ac:dyDescent="0.25">
      <c r="A270" s="14"/>
      <c r="B270" s="1" t="str">
        <f>IF(B269&lt;Simulador!$F$47,B269+1,"")</f>
        <v/>
      </c>
      <c r="C270" s="18" t="str">
        <f>IF(B269&lt;Simulador!$F$47,H269,"")</f>
        <v/>
      </c>
      <c r="D270" s="17" t="str">
        <f>IF(Tabla1[[#This Row],[Periodo]]="","",IF(B270&lt;=Simulador!$F$47,PPMT(Simulador!$F$41+Simulador!$F$43,Cronograma!B270,Simulador!$F$47,-Simulador!$F$37),""))</f>
        <v/>
      </c>
      <c r="E270" s="19" t="str">
        <f>IF(B269&lt;Simulador!$F$47,(IPMT(Simulador!$F$41+Simulador!$F$43,Tabla1[[#This Row],[Periodo]],Simulador!$F$47,-Simulador!$F$37)-Tabla1[[#This Row],[Seguro Desgravamen]]),"")</f>
        <v/>
      </c>
      <c r="F270" s="19" t="str">
        <f>IF(B269&lt;Simulador!$F$47,C270*Simulador!$F$43,"")</f>
        <v/>
      </c>
      <c r="G270" s="18" t="str">
        <f>IF(B269&lt;Simulador!$F$47,Simulador!$F$45*Simulador!$F$12/12,"")</f>
        <v/>
      </c>
      <c r="H270" s="19" t="str">
        <f>IF(B269&lt;Simulador!$F$47,C270-D270,"")</f>
        <v/>
      </c>
      <c r="I270" s="19" t="str">
        <f>IF(B269&lt;Simulador!$F$47,PMT(Simulador!$F$41+Simulador!$F$43,Simulador!$F$47,-Simulador!$F$37)+G270,"")</f>
        <v/>
      </c>
    </row>
    <row r="271" spans="1:9" ht="17.100000000000001" customHeight="1" x14ac:dyDescent="0.25">
      <c r="A271" s="14"/>
      <c r="B271" s="1" t="str">
        <f>IF(B270&lt;Simulador!$F$47,B270+1,"")</f>
        <v/>
      </c>
      <c r="C271" s="18" t="str">
        <f>IF(B270&lt;Simulador!$F$47,H270,"")</f>
        <v/>
      </c>
      <c r="D271" s="17" t="str">
        <f>IF(Tabla1[[#This Row],[Periodo]]="","",IF(B271&lt;=Simulador!$F$47,PPMT(Simulador!$F$41+Simulador!$F$43,Cronograma!B271,Simulador!$F$47,-Simulador!$F$37),""))</f>
        <v/>
      </c>
      <c r="E271" s="19" t="str">
        <f>IF(B270&lt;Simulador!$F$47,(IPMT(Simulador!$F$41+Simulador!$F$43,Tabla1[[#This Row],[Periodo]],Simulador!$F$47,-Simulador!$F$37)-Tabla1[[#This Row],[Seguro Desgravamen]]),"")</f>
        <v/>
      </c>
      <c r="F271" s="19" t="str">
        <f>IF(B270&lt;Simulador!$F$47,C271*Simulador!$F$43,"")</f>
        <v/>
      </c>
      <c r="G271" s="18" t="str">
        <f>IF(B270&lt;Simulador!$F$47,Simulador!$F$45*Simulador!$F$12/12,"")</f>
        <v/>
      </c>
      <c r="H271" s="19" t="str">
        <f>IF(B270&lt;Simulador!$F$47,C271-D271,"")</f>
        <v/>
      </c>
      <c r="I271" s="19" t="str">
        <f>IF(B270&lt;Simulador!$F$47,PMT(Simulador!$F$41+Simulador!$F$43,Simulador!$F$47,-Simulador!$F$37)+G271,"")</f>
        <v/>
      </c>
    </row>
    <row r="272" spans="1:9" ht="17.100000000000001" customHeight="1" x14ac:dyDescent="0.25">
      <c r="A272" s="14"/>
      <c r="B272" s="1" t="str">
        <f>IF(B271&lt;Simulador!$F$47,B271+1,"")</f>
        <v/>
      </c>
      <c r="C272" s="18" t="str">
        <f>IF(B271&lt;Simulador!$F$47,H271,"")</f>
        <v/>
      </c>
      <c r="D272" s="17" t="str">
        <f>IF(Tabla1[[#This Row],[Periodo]]="","",IF(B272&lt;=Simulador!$F$47,PPMT(Simulador!$F$41+Simulador!$F$43,Cronograma!B272,Simulador!$F$47,-Simulador!$F$37),""))</f>
        <v/>
      </c>
      <c r="E272" s="19" t="str">
        <f>IF(B271&lt;Simulador!$F$47,(IPMT(Simulador!$F$41+Simulador!$F$43,Tabla1[[#This Row],[Periodo]],Simulador!$F$47,-Simulador!$F$37)-Tabla1[[#This Row],[Seguro Desgravamen]]),"")</f>
        <v/>
      </c>
      <c r="F272" s="19" t="str">
        <f>IF(B271&lt;Simulador!$F$47,C272*Simulador!$F$43,"")</f>
        <v/>
      </c>
      <c r="G272" s="18" t="str">
        <f>IF(B271&lt;Simulador!$F$47,Simulador!$F$45*Simulador!$F$12/12,"")</f>
        <v/>
      </c>
      <c r="H272" s="19" t="str">
        <f>IF(B271&lt;Simulador!$F$47,C272-D272,"")</f>
        <v/>
      </c>
      <c r="I272" s="19" t="str">
        <f>IF(B271&lt;Simulador!$F$47,PMT(Simulador!$F$41+Simulador!$F$43,Simulador!$F$47,-Simulador!$F$37)+G272,"")</f>
        <v/>
      </c>
    </row>
    <row r="273" spans="1:9" ht="17.100000000000001" customHeight="1" x14ac:dyDescent="0.25">
      <c r="A273" s="14"/>
      <c r="B273" s="1" t="str">
        <f>IF(B272&lt;Simulador!$F$47,B272+1,"")</f>
        <v/>
      </c>
      <c r="C273" s="18" t="str">
        <f>IF(B272&lt;Simulador!$F$47,H272,"")</f>
        <v/>
      </c>
      <c r="D273" s="17" t="str">
        <f>IF(Tabla1[[#This Row],[Periodo]]="","",IF(B273&lt;=Simulador!$F$47,PPMT(Simulador!$F$41+Simulador!$F$43,Cronograma!B273,Simulador!$F$47,-Simulador!$F$37),""))</f>
        <v/>
      </c>
      <c r="E273" s="19" t="str">
        <f>IF(B272&lt;Simulador!$F$47,(IPMT(Simulador!$F$41+Simulador!$F$43,Tabla1[[#This Row],[Periodo]],Simulador!$F$47,-Simulador!$F$37)-Tabla1[[#This Row],[Seguro Desgravamen]]),"")</f>
        <v/>
      </c>
      <c r="F273" s="19" t="str">
        <f>IF(B272&lt;Simulador!$F$47,C273*Simulador!$F$43,"")</f>
        <v/>
      </c>
      <c r="G273" s="18" t="str">
        <f>IF(B272&lt;Simulador!$F$47,Simulador!$F$45*Simulador!$F$12/12,"")</f>
        <v/>
      </c>
      <c r="H273" s="19" t="str">
        <f>IF(B272&lt;Simulador!$F$47,C273-D273,"")</f>
        <v/>
      </c>
      <c r="I273" s="19" t="str">
        <f>IF(B272&lt;Simulador!$F$47,PMT(Simulador!$F$41+Simulador!$F$43,Simulador!$F$47,-Simulador!$F$37)+G273,"")</f>
        <v/>
      </c>
    </row>
    <row r="274" spans="1:9" ht="17.100000000000001" customHeight="1" x14ac:dyDescent="0.25">
      <c r="A274" s="14"/>
      <c r="B274" s="1" t="str">
        <f>IF(B273&lt;Simulador!$F$47,B273+1,"")</f>
        <v/>
      </c>
      <c r="C274" s="18" t="str">
        <f>IF(B273&lt;Simulador!$F$47,H273,"")</f>
        <v/>
      </c>
      <c r="D274" s="17" t="str">
        <f>IF(Tabla1[[#This Row],[Periodo]]="","",IF(B274&lt;=Simulador!$F$47,PPMT(Simulador!$F$41+Simulador!$F$43,Cronograma!B274,Simulador!$F$47,-Simulador!$F$37),""))</f>
        <v/>
      </c>
      <c r="E274" s="19" t="str">
        <f>IF(B273&lt;Simulador!$F$47,(IPMT(Simulador!$F$41+Simulador!$F$43,Tabla1[[#This Row],[Periodo]],Simulador!$F$47,-Simulador!$F$37)-Tabla1[[#This Row],[Seguro Desgravamen]]),"")</f>
        <v/>
      </c>
      <c r="F274" s="19" t="str">
        <f>IF(B273&lt;Simulador!$F$47,C274*Simulador!$F$43,"")</f>
        <v/>
      </c>
      <c r="G274" s="18" t="str">
        <f>IF(B273&lt;Simulador!$F$47,Simulador!$F$45*Simulador!$F$12/12,"")</f>
        <v/>
      </c>
      <c r="H274" s="19" t="str">
        <f>IF(B273&lt;Simulador!$F$47,C274-D274,"")</f>
        <v/>
      </c>
      <c r="I274" s="19" t="str">
        <f>IF(B273&lt;Simulador!$F$47,PMT(Simulador!$F$41+Simulador!$F$43,Simulador!$F$47,-Simulador!$F$37)+G274,"")</f>
        <v/>
      </c>
    </row>
    <row r="275" spans="1:9" ht="17.100000000000001" customHeight="1" x14ac:dyDescent="0.25">
      <c r="A275" s="14"/>
      <c r="B275" s="1" t="str">
        <f>IF(B274&lt;Simulador!$F$47,B274+1,"")</f>
        <v/>
      </c>
      <c r="C275" s="18" t="str">
        <f>IF(B274&lt;Simulador!$F$47,H274,"")</f>
        <v/>
      </c>
      <c r="D275" s="17" t="str">
        <f>IF(Tabla1[[#This Row],[Periodo]]="","",IF(B275&lt;=Simulador!$F$47,PPMT(Simulador!$F$41+Simulador!$F$43,Cronograma!B275,Simulador!$F$47,-Simulador!$F$37),""))</f>
        <v/>
      </c>
      <c r="E275" s="19" t="str">
        <f>IF(B274&lt;Simulador!$F$47,(IPMT(Simulador!$F$41+Simulador!$F$43,Tabla1[[#This Row],[Periodo]],Simulador!$F$47,-Simulador!$F$37)-Tabla1[[#This Row],[Seguro Desgravamen]]),"")</f>
        <v/>
      </c>
      <c r="F275" s="19" t="str">
        <f>IF(B274&lt;Simulador!$F$47,C275*Simulador!$F$43,"")</f>
        <v/>
      </c>
      <c r="G275" s="18" t="str">
        <f>IF(B274&lt;Simulador!$F$47,Simulador!$F$45*Simulador!$F$12/12,"")</f>
        <v/>
      </c>
      <c r="H275" s="19" t="str">
        <f>IF(B274&lt;Simulador!$F$47,C275-D275,"")</f>
        <v/>
      </c>
      <c r="I275" s="19" t="str">
        <f>IF(B274&lt;Simulador!$F$47,PMT(Simulador!$F$41+Simulador!$F$43,Simulador!$F$47,-Simulador!$F$37)+G275,"")</f>
        <v/>
      </c>
    </row>
    <row r="276" spans="1:9" ht="17.100000000000001" customHeight="1" x14ac:dyDescent="0.25">
      <c r="A276" s="14"/>
      <c r="B276" s="1" t="str">
        <f>IF(B275&lt;Simulador!$F$47,B275+1,"")</f>
        <v/>
      </c>
      <c r="C276" s="18" t="str">
        <f>IF(B275&lt;Simulador!$F$47,H275,"")</f>
        <v/>
      </c>
      <c r="D276" s="17" t="str">
        <f>IF(Tabla1[[#This Row],[Periodo]]="","",IF(B276&lt;=Simulador!$F$47,PPMT(Simulador!$F$41+Simulador!$F$43,Cronograma!B276,Simulador!$F$47,-Simulador!$F$37),""))</f>
        <v/>
      </c>
      <c r="E276" s="19" t="str">
        <f>IF(B275&lt;Simulador!$F$47,(IPMT(Simulador!$F$41+Simulador!$F$43,Tabla1[[#This Row],[Periodo]],Simulador!$F$47,-Simulador!$F$37)-Tabla1[[#This Row],[Seguro Desgravamen]]),"")</f>
        <v/>
      </c>
      <c r="F276" s="19" t="str">
        <f>IF(B275&lt;Simulador!$F$47,C276*Simulador!$F$43,"")</f>
        <v/>
      </c>
      <c r="G276" s="18" t="str">
        <f>IF(B275&lt;Simulador!$F$47,Simulador!$F$45*Simulador!$F$12/12,"")</f>
        <v/>
      </c>
      <c r="H276" s="19" t="str">
        <f>IF(B275&lt;Simulador!$F$47,C276-D276,"")</f>
        <v/>
      </c>
      <c r="I276" s="19" t="str">
        <f>IF(B275&lt;Simulador!$F$47,PMT(Simulador!$F$41+Simulador!$F$43,Simulador!$F$47,-Simulador!$F$37)+G276,"")</f>
        <v/>
      </c>
    </row>
    <row r="277" spans="1:9" ht="17.100000000000001" customHeight="1" x14ac:dyDescent="0.25">
      <c r="A277" s="14"/>
      <c r="B277" s="1" t="str">
        <f>IF(B276&lt;Simulador!$F$47,B276+1,"")</f>
        <v/>
      </c>
      <c r="C277" s="18" t="str">
        <f>IF(B276&lt;Simulador!$F$47,H276,"")</f>
        <v/>
      </c>
      <c r="D277" s="17" t="str">
        <f>IF(Tabla1[[#This Row],[Periodo]]="","",IF(B277&lt;=Simulador!$F$47,PPMT(Simulador!$F$41+Simulador!$F$43,Cronograma!B277,Simulador!$F$47,-Simulador!$F$37),""))</f>
        <v/>
      </c>
      <c r="E277" s="19" t="str">
        <f>IF(B276&lt;Simulador!$F$47,(IPMT(Simulador!$F$41+Simulador!$F$43,Tabla1[[#This Row],[Periodo]],Simulador!$F$47,-Simulador!$F$37)-Tabla1[[#This Row],[Seguro Desgravamen]]),"")</f>
        <v/>
      </c>
      <c r="F277" s="19" t="str">
        <f>IF(B276&lt;Simulador!$F$47,C277*Simulador!$F$43,"")</f>
        <v/>
      </c>
      <c r="G277" s="18" t="str">
        <f>IF(B276&lt;Simulador!$F$47,Simulador!$F$45*Simulador!$F$12/12,"")</f>
        <v/>
      </c>
      <c r="H277" s="19" t="str">
        <f>IF(B276&lt;Simulador!$F$47,C277-D277,"")</f>
        <v/>
      </c>
      <c r="I277" s="19" t="str">
        <f>IF(B276&lt;Simulador!$F$47,PMT(Simulador!$F$41+Simulador!$F$43,Simulador!$F$47,-Simulador!$F$37)+G277,"")</f>
        <v/>
      </c>
    </row>
    <row r="278" spans="1:9" ht="17.100000000000001" customHeight="1" x14ac:dyDescent="0.25">
      <c r="A278" s="14"/>
      <c r="B278" s="1" t="str">
        <f>IF(B277&lt;Simulador!$F$47,B277+1,"")</f>
        <v/>
      </c>
      <c r="C278" s="18" t="str">
        <f>IF(B277&lt;Simulador!$F$47,H277,"")</f>
        <v/>
      </c>
      <c r="D278" s="17" t="str">
        <f>IF(Tabla1[[#This Row],[Periodo]]="","",IF(B278&lt;=Simulador!$F$47,PPMT(Simulador!$F$41+Simulador!$F$43,Cronograma!B278,Simulador!$F$47,-Simulador!$F$37),""))</f>
        <v/>
      </c>
      <c r="E278" s="19" t="str">
        <f>IF(B277&lt;Simulador!$F$47,(IPMT(Simulador!$F$41+Simulador!$F$43,Tabla1[[#This Row],[Periodo]],Simulador!$F$47,-Simulador!$F$37)-Tabla1[[#This Row],[Seguro Desgravamen]]),"")</f>
        <v/>
      </c>
      <c r="F278" s="19" t="str">
        <f>IF(B277&lt;Simulador!$F$47,C278*Simulador!$F$43,"")</f>
        <v/>
      </c>
      <c r="G278" s="18" t="str">
        <f>IF(B277&lt;Simulador!$F$47,Simulador!$F$45*Simulador!$F$12/12,"")</f>
        <v/>
      </c>
      <c r="H278" s="19" t="str">
        <f>IF(B277&lt;Simulador!$F$47,C278-D278,"")</f>
        <v/>
      </c>
      <c r="I278" s="19" t="str">
        <f>IF(B277&lt;Simulador!$F$47,PMT(Simulador!$F$41+Simulador!$F$43,Simulador!$F$47,-Simulador!$F$37)+G278,"")</f>
        <v/>
      </c>
    </row>
    <row r="279" spans="1:9" ht="17.100000000000001" customHeight="1" x14ac:dyDescent="0.25">
      <c r="A279" s="14"/>
      <c r="B279" s="1" t="str">
        <f>IF(B278&lt;Simulador!$F$47,B278+1,"")</f>
        <v/>
      </c>
      <c r="C279" s="18" t="str">
        <f>IF(B278&lt;Simulador!$F$47,H278,"")</f>
        <v/>
      </c>
      <c r="D279" s="17" t="str">
        <f>IF(Tabla1[[#This Row],[Periodo]]="","",IF(B279&lt;=Simulador!$F$47,PPMT(Simulador!$F$41+Simulador!$F$43,Cronograma!B279,Simulador!$F$47,-Simulador!$F$37),""))</f>
        <v/>
      </c>
      <c r="E279" s="19" t="str">
        <f>IF(B278&lt;Simulador!$F$47,(IPMT(Simulador!$F$41+Simulador!$F$43,Tabla1[[#This Row],[Periodo]],Simulador!$F$47,-Simulador!$F$37)-Tabla1[[#This Row],[Seguro Desgravamen]]),"")</f>
        <v/>
      </c>
      <c r="F279" s="19" t="str">
        <f>IF(B278&lt;Simulador!$F$47,C279*Simulador!$F$43,"")</f>
        <v/>
      </c>
      <c r="G279" s="18" t="str">
        <f>IF(B278&lt;Simulador!$F$47,Simulador!$F$45*Simulador!$F$12/12,"")</f>
        <v/>
      </c>
      <c r="H279" s="19" t="str">
        <f>IF(B278&lt;Simulador!$F$47,C279-D279,"")</f>
        <v/>
      </c>
      <c r="I279" s="19" t="str">
        <f>IF(B278&lt;Simulador!$F$47,PMT(Simulador!$F$41+Simulador!$F$43,Simulador!$F$47,-Simulador!$F$37)+G279,"")</f>
        <v/>
      </c>
    </row>
    <row r="280" spans="1:9" ht="17.100000000000001" customHeight="1" x14ac:dyDescent="0.25">
      <c r="A280" s="14"/>
      <c r="B280" s="1" t="str">
        <f>IF(B279&lt;Simulador!$F$47,B279+1,"")</f>
        <v/>
      </c>
      <c r="C280" s="18" t="str">
        <f>IF(B279&lt;Simulador!$F$47,H279,"")</f>
        <v/>
      </c>
      <c r="D280" s="17" t="str">
        <f>IF(Tabla1[[#This Row],[Periodo]]="","",IF(B280&lt;=Simulador!$F$47,PPMT(Simulador!$F$41+Simulador!$F$43,Cronograma!B280,Simulador!$F$47,-Simulador!$F$37),""))</f>
        <v/>
      </c>
      <c r="E280" s="19" t="str">
        <f>IF(B279&lt;Simulador!$F$47,(IPMT(Simulador!$F$41+Simulador!$F$43,Tabla1[[#This Row],[Periodo]],Simulador!$F$47,-Simulador!$F$37)-Tabla1[[#This Row],[Seguro Desgravamen]]),"")</f>
        <v/>
      </c>
      <c r="F280" s="19" t="str">
        <f>IF(B279&lt;Simulador!$F$47,C280*Simulador!$F$43,"")</f>
        <v/>
      </c>
      <c r="G280" s="18" t="str">
        <f>IF(B279&lt;Simulador!$F$47,Simulador!$F$45*Simulador!$F$12/12,"")</f>
        <v/>
      </c>
      <c r="H280" s="19" t="str">
        <f>IF(B279&lt;Simulador!$F$47,C280-D280,"")</f>
        <v/>
      </c>
      <c r="I280" s="19" t="str">
        <f>IF(B279&lt;Simulador!$F$47,PMT(Simulador!$F$41+Simulador!$F$43,Simulador!$F$47,-Simulador!$F$37)+G280,"")</f>
        <v/>
      </c>
    </row>
    <row r="281" spans="1:9" ht="17.100000000000001" customHeight="1" x14ac:dyDescent="0.25">
      <c r="A281" s="14"/>
      <c r="B281" s="1" t="str">
        <f>IF(B280&lt;Simulador!$F$47,B280+1,"")</f>
        <v/>
      </c>
      <c r="C281" s="18" t="str">
        <f>IF(B280&lt;Simulador!$F$47,H280,"")</f>
        <v/>
      </c>
      <c r="D281" s="17" t="str">
        <f>IF(Tabla1[[#This Row],[Periodo]]="","",IF(B281&lt;=Simulador!$F$47,PPMT(Simulador!$F$41+Simulador!$F$43,Cronograma!B281,Simulador!$F$47,-Simulador!$F$37),""))</f>
        <v/>
      </c>
      <c r="E281" s="19" t="str">
        <f>IF(B280&lt;Simulador!$F$47,(IPMT(Simulador!$F$41+Simulador!$F$43,Tabla1[[#This Row],[Periodo]],Simulador!$F$47,-Simulador!$F$37)-Tabla1[[#This Row],[Seguro Desgravamen]]),"")</f>
        <v/>
      </c>
      <c r="F281" s="19" t="str">
        <f>IF(B280&lt;Simulador!$F$47,C281*Simulador!$F$43,"")</f>
        <v/>
      </c>
      <c r="G281" s="18" t="str">
        <f>IF(B280&lt;Simulador!$F$47,Simulador!$F$45*Simulador!$F$12/12,"")</f>
        <v/>
      </c>
      <c r="H281" s="19" t="str">
        <f>IF(B280&lt;Simulador!$F$47,C281-D281,"")</f>
        <v/>
      </c>
      <c r="I281" s="19" t="str">
        <f>IF(B280&lt;Simulador!$F$47,PMT(Simulador!$F$41+Simulador!$F$43,Simulador!$F$47,-Simulador!$F$37)+G281,"")</f>
        <v/>
      </c>
    </row>
    <row r="282" spans="1:9" ht="17.100000000000001" customHeight="1" x14ac:dyDescent="0.25">
      <c r="A282" s="14"/>
      <c r="B282" s="1" t="str">
        <f>IF(B281&lt;Simulador!$F$47,B281+1,"")</f>
        <v/>
      </c>
      <c r="C282" s="18" t="str">
        <f>IF(B281&lt;Simulador!$F$47,H281,"")</f>
        <v/>
      </c>
      <c r="D282" s="17" t="str">
        <f>IF(Tabla1[[#This Row],[Periodo]]="","",IF(B282&lt;=Simulador!$F$47,PPMT(Simulador!$F$41+Simulador!$F$43,Cronograma!B282,Simulador!$F$47,-Simulador!$F$37),""))</f>
        <v/>
      </c>
      <c r="E282" s="19" t="str">
        <f>IF(B281&lt;Simulador!$F$47,(IPMT(Simulador!$F$41+Simulador!$F$43,Tabla1[[#This Row],[Periodo]],Simulador!$F$47,-Simulador!$F$37)-Tabla1[[#This Row],[Seguro Desgravamen]]),"")</f>
        <v/>
      </c>
      <c r="F282" s="19" t="str">
        <f>IF(B281&lt;Simulador!$F$47,C282*Simulador!$F$43,"")</f>
        <v/>
      </c>
      <c r="G282" s="18" t="str">
        <f>IF(B281&lt;Simulador!$F$47,Simulador!$F$45*Simulador!$F$12/12,"")</f>
        <v/>
      </c>
      <c r="H282" s="19" t="str">
        <f>IF(B281&lt;Simulador!$F$47,C282-D282,"")</f>
        <v/>
      </c>
      <c r="I282" s="19" t="str">
        <f>IF(B281&lt;Simulador!$F$47,PMT(Simulador!$F$41+Simulador!$F$43,Simulador!$F$47,-Simulador!$F$37)+G282,"")</f>
        <v/>
      </c>
    </row>
    <row r="283" spans="1:9" ht="17.100000000000001" customHeight="1" x14ac:dyDescent="0.25">
      <c r="A283" s="14"/>
      <c r="B283" s="1" t="str">
        <f>IF(B282&lt;Simulador!$F$47,B282+1,"")</f>
        <v/>
      </c>
      <c r="C283" s="18" t="str">
        <f>IF(B282&lt;Simulador!$F$47,H282,"")</f>
        <v/>
      </c>
      <c r="D283" s="17" t="str">
        <f>IF(Tabla1[[#This Row],[Periodo]]="","",IF(B283&lt;=Simulador!$F$47,PPMT(Simulador!$F$41+Simulador!$F$43,Cronograma!B283,Simulador!$F$47,-Simulador!$F$37),""))</f>
        <v/>
      </c>
      <c r="E283" s="19" t="str">
        <f>IF(B282&lt;Simulador!$F$47,(IPMT(Simulador!$F$41+Simulador!$F$43,Tabla1[[#This Row],[Periodo]],Simulador!$F$47,-Simulador!$F$37)-Tabla1[[#This Row],[Seguro Desgravamen]]),"")</f>
        <v/>
      </c>
      <c r="F283" s="19" t="str">
        <f>IF(B282&lt;Simulador!$F$47,C283*Simulador!$F$43,"")</f>
        <v/>
      </c>
      <c r="G283" s="18" t="str">
        <f>IF(B282&lt;Simulador!$F$47,Simulador!$F$45*Simulador!$F$12/12,"")</f>
        <v/>
      </c>
      <c r="H283" s="19" t="str">
        <f>IF(B282&lt;Simulador!$F$47,C283-D283,"")</f>
        <v/>
      </c>
      <c r="I283" s="19" t="str">
        <f>IF(B282&lt;Simulador!$F$47,PMT(Simulador!$F$41+Simulador!$F$43,Simulador!$F$47,-Simulador!$F$37)+G283,"")</f>
        <v/>
      </c>
    </row>
    <row r="284" spans="1:9" ht="17.100000000000001" customHeight="1" x14ac:dyDescent="0.25">
      <c r="A284" s="14"/>
      <c r="B284" s="1" t="str">
        <f>IF(B283&lt;Simulador!$F$47,B283+1,"")</f>
        <v/>
      </c>
      <c r="C284" s="18" t="str">
        <f>IF(B283&lt;Simulador!$F$47,H283,"")</f>
        <v/>
      </c>
      <c r="D284" s="17" t="str">
        <f>IF(Tabla1[[#This Row],[Periodo]]="","",IF(B284&lt;=Simulador!$F$47,PPMT(Simulador!$F$41+Simulador!$F$43,Cronograma!B284,Simulador!$F$47,-Simulador!$F$37),""))</f>
        <v/>
      </c>
      <c r="E284" s="19" t="str">
        <f>IF(B283&lt;Simulador!$F$47,(IPMT(Simulador!$F$41+Simulador!$F$43,Tabla1[[#This Row],[Periodo]],Simulador!$F$47,-Simulador!$F$37)-Tabla1[[#This Row],[Seguro Desgravamen]]),"")</f>
        <v/>
      </c>
      <c r="F284" s="19" t="str">
        <f>IF(B283&lt;Simulador!$F$47,C284*Simulador!$F$43,"")</f>
        <v/>
      </c>
      <c r="G284" s="18" t="str">
        <f>IF(B283&lt;Simulador!$F$47,Simulador!$F$45*Simulador!$F$12/12,"")</f>
        <v/>
      </c>
      <c r="H284" s="19" t="str">
        <f>IF(B283&lt;Simulador!$F$47,C284-D284,"")</f>
        <v/>
      </c>
      <c r="I284" s="19" t="str">
        <f>IF(B283&lt;Simulador!$F$47,PMT(Simulador!$F$41+Simulador!$F$43,Simulador!$F$47,-Simulador!$F$37)+G284,"")</f>
        <v/>
      </c>
    </row>
    <row r="285" spans="1:9" ht="17.100000000000001" customHeight="1" x14ac:dyDescent="0.25">
      <c r="A285" s="14"/>
      <c r="B285" s="1" t="str">
        <f>IF(B284&lt;Simulador!$F$47,B284+1,"")</f>
        <v/>
      </c>
      <c r="C285" s="18" t="str">
        <f>IF(B284&lt;Simulador!$F$47,H284,"")</f>
        <v/>
      </c>
      <c r="D285" s="17" t="str">
        <f>IF(Tabla1[[#This Row],[Periodo]]="","",IF(B285&lt;=Simulador!$F$47,PPMT(Simulador!$F$41+Simulador!$F$43,Cronograma!B285,Simulador!$F$47,-Simulador!$F$37),""))</f>
        <v/>
      </c>
      <c r="E285" s="19" t="str">
        <f>IF(B284&lt;Simulador!$F$47,(IPMT(Simulador!$F$41+Simulador!$F$43,Tabla1[[#This Row],[Periodo]],Simulador!$F$47,-Simulador!$F$37)-Tabla1[[#This Row],[Seguro Desgravamen]]),"")</f>
        <v/>
      </c>
      <c r="F285" s="19" t="str">
        <f>IF(B284&lt;Simulador!$F$47,C285*Simulador!$F$43,"")</f>
        <v/>
      </c>
      <c r="G285" s="18" t="str">
        <f>IF(B284&lt;Simulador!$F$47,Simulador!$F$45*Simulador!$F$12/12,"")</f>
        <v/>
      </c>
      <c r="H285" s="19" t="str">
        <f>IF(B284&lt;Simulador!$F$47,C285-D285,"")</f>
        <v/>
      </c>
      <c r="I285" s="19" t="str">
        <f>IF(B284&lt;Simulador!$F$47,PMT(Simulador!$F$41+Simulador!$F$43,Simulador!$F$47,-Simulador!$F$37)+G285,"")</f>
        <v/>
      </c>
    </row>
    <row r="286" spans="1:9" ht="17.100000000000001" customHeight="1" x14ac:dyDescent="0.25">
      <c r="A286" s="14"/>
      <c r="B286" s="1" t="str">
        <f>IF(B285&lt;Simulador!$F$47,B285+1,"")</f>
        <v/>
      </c>
      <c r="C286" s="18" t="str">
        <f>IF(B285&lt;Simulador!$F$47,H285,"")</f>
        <v/>
      </c>
      <c r="D286" s="17" t="str">
        <f>IF(Tabla1[[#This Row],[Periodo]]="","",IF(B286&lt;=Simulador!$F$47,PPMT(Simulador!$F$41+Simulador!$F$43,Cronograma!B286,Simulador!$F$47,-Simulador!$F$37),""))</f>
        <v/>
      </c>
      <c r="E286" s="19" t="str">
        <f>IF(B285&lt;Simulador!$F$47,(IPMT(Simulador!$F$41+Simulador!$F$43,Tabla1[[#This Row],[Periodo]],Simulador!$F$47,-Simulador!$F$37)-Tabla1[[#This Row],[Seguro Desgravamen]]),"")</f>
        <v/>
      </c>
      <c r="F286" s="19" t="str">
        <f>IF(B285&lt;Simulador!$F$47,C286*Simulador!$F$43,"")</f>
        <v/>
      </c>
      <c r="G286" s="18" t="str">
        <f>IF(B285&lt;Simulador!$F$47,Simulador!$F$45*Simulador!$F$12/12,"")</f>
        <v/>
      </c>
      <c r="H286" s="19" t="str">
        <f>IF(B285&lt;Simulador!$F$47,C286-D286,"")</f>
        <v/>
      </c>
      <c r="I286" s="19" t="str">
        <f>IF(B285&lt;Simulador!$F$47,PMT(Simulador!$F$41+Simulador!$F$43,Simulador!$F$47,-Simulador!$F$37)+G286,"")</f>
        <v/>
      </c>
    </row>
    <row r="287" spans="1:9" ht="17.100000000000001" customHeight="1" x14ac:dyDescent="0.25">
      <c r="A287" s="14"/>
      <c r="B287" s="1" t="str">
        <f>IF(B286&lt;Simulador!$F$47,B286+1,"")</f>
        <v/>
      </c>
      <c r="C287" s="18" t="str">
        <f>IF(B286&lt;Simulador!$F$47,H286,"")</f>
        <v/>
      </c>
      <c r="D287" s="17" t="str">
        <f>IF(Tabla1[[#This Row],[Periodo]]="","",IF(B287&lt;=Simulador!$F$47,PPMT(Simulador!$F$41+Simulador!$F$43,Cronograma!B287,Simulador!$F$47,-Simulador!$F$37),""))</f>
        <v/>
      </c>
      <c r="E287" s="19" t="str">
        <f>IF(B286&lt;Simulador!$F$47,(IPMT(Simulador!$F$41+Simulador!$F$43,Tabla1[[#This Row],[Periodo]],Simulador!$F$47,-Simulador!$F$37)-Tabla1[[#This Row],[Seguro Desgravamen]]),"")</f>
        <v/>
      </c>
      <c r="F287" s="19" t="str">
        <f>IF(B286&lt;Simulador!$F$47,C287*Simulador!$F$43,"")</f>
        <v/>
      </c>
      <c r="G287" s="18" t="str">
        <f>IF(B286&lt;Simulador!$F$47,Simulador!$F$45*Simulador!$F$12/12,"")</f>
        <v/>
      </c>
      <c r="H287" s="19" t="str">
        <f>IF(B286&lt;Simulador!$F$47,C287-D287,"")</f>
        <v/>
      </c>
      <c r="I287" s="19" t="str">
        <f>IF(B286&lt;Simulador!$F$47,PMT(Simulador!$F$41+Simulador!$F$43,Simulador!$F$47,-Simulador!$F$37)+G287,"")</f>
        <v/>
      </c>
    </row>
    <row r="288" spans="1:9" ht="17.100000000000001" customHeight="1" x14ac:dyDescent="0.25">
      <c r="A288" s="14"/>
      <c r="B288" s="1" t="str">
        <f>IF(B287&lt;Simulador!$F$47,B287+1,"")</f>
        <v/>
      </c>
      <c r="C288" s="18" t="str">
        <f>IF(B287&lt;Simulador!$F$47,H287,"")</f>
        <v/>
      </c>
      <c r="D288" s="17" t="str">
        <f>IF(Tabla1[[#This Row],[Periodo]]="","",IF(B288&lt;=Simulador!$F$47,PPMT(Simulador!$F$41+Simulador!$F$43,Cronograma!B288,Simulador!$F$47,-Simulador!$F$37),""))</f>
        <v/>
      </c>
      <c r="E288" s="19" t="str">
        <f>IF(B287&lt;Simulador!$F$47,(IPMT(Simulador!$F$41+Simulador!$F$43,Tabla1[[#This Row],[Periodo]],Simulador!$F$47,-Simulador!$F$37)-Tabla1[[#This Row],[Seguro Desgravamen]]),"")</f>
        <v/>
      </c>
      <c r="F288" s="19" t="str">
        <f>IF(B287&lt;Simulador!$F$47,C288*Simulador!$F$43,"")</f>
        <v/>
      </c>
      <c r="G288" s="18" t="str">
        <f>IF(B287&lt;Simulador!$F$47,Simulador!$F$45*Simulador!$F$12/12,"")</f>
        <v/>
      </c>
      <c r="H288" s="19" t="str">
        <f>IF(B287&lt;Simulador!$F$47,C288-D288,"")</f>
        <v/>
      </c>
      <c r="I288" s="19" t="str">
        <f>IF(B287&lt;Simulador!$F$47,PMT(Simulador!$F$41+Simulador!$F$43,Simulador!$F$47,-Simulador!$F$37)+G288,"")</f>
        <v/>
      </c>
    </row>
    <row r="289" spans="1:9" ht="17.100000000000001" customHeight="1" x14ac:dyDescent="0.25">
      <c r="A289" s="14"/>
      <c r="B289" s="1" t="str">
        <f>IF(B288&lt;Simulador!$F$47,B288+1,"")</f>
        <v/>
      </c>
      <c r="C289" s="18" t="str">
        <f>IF(B288&lt;Simulador!$F$47,H288,"")</f>
        <v/>
      </c>
      <c r="D289" s="17" t="str">
        <f>IF(Tabla1[[#This Row],[Periodo]]="","",IF(B289&lt;=Simulador!$F$47,PPMT(Simulador!$F$41+Simulador!$F$43,Cronograma!B289,Simulador!$F$47,-Simulador!$F$37),""))</f>
        <v/>
      </c>
      <c r="E289" s="19" t="str">
        <f>IF(B288&lt;Simulador!$F$47,(IPMT(Simulador!$F$41+Simulador!$F$43,Tabla1[[#This Row],[Periodo]],Simulador!$F$47,-Simulador!$F$37)-Tabla1[[#This Row],[Seguro Desgravamen]]),"")</f>
        <v/>
      </c>
      <c r="F289" s="19" t="str">
        <f>IF(B288&lt;Simulador!$F$47,C289*Simulador!$F$43,"")</f>
        <v/>
      </c>
      <c r="G289" s="18" t="str">
        <f>IF(B288&lt;Simulador!$F$47,Simulador!$F$45*Simulador!$F$12/12,"")</f>
        <v/>
      </c>
      <c r="H289" s="19" t="str">
        <f>IF(B288&lt;Simulador!$F$47,C289-D289,"")</f>
        <v/>
      </c>
      <c r="I289" s="19" t="str">
        <f>IF(B288&lt;Simulador!$F$47,PMT(Simulador!$F$41+Simulador!$F$43,Simulador!$F$47,-Simulador!$F$37)+G289,"")</f>
        <v/>
      </c>
    </row>
    <row r="290" spans="1:9" ht="17.100000000000001" customHeight="1" x14ac:dyDescent="0.25">
      <c r="A290" s="14"/>
      <c r="B290" s="1" t="str">
        <f>IF(B289&lt;Simulador!$F$47,B289+1,"")</f>
        <v/>
      </c>
      <c r="C290" s="18" t="str">
        <f>IF(B289&lt;Simulador!$F$47,H289,"")</f>
        <v/>
      </c>
      <c r="D290" s="17" t="str">
        <f>IF(Tabla1[[#This Row],[Periodo]]="","",IF(B290&lt;=Simulador!$F$47,PPMT(Simulador!$F$41+Simulador!$F$43,Cronograma!B290,Simulador!$F$47,-Simulador!$F$37),""))</f>
        <v/>
      </c>
      <c r="E290" s="19" t="str">
        <f>IF(B289&lt;Simulador!$F$47,(IPMT(Simulador!$F$41+Simulador!$F$43,Tabla1[[#This Row],[Periodo]],Simulador!$F$47,-Simulador!$F$37)-Tabla1[[#This Row],[Seguro Desgravamen]]),"")</f>
        <v/>
      </c>
      <c r="F290" s="19" t="str">
        <f>IF(B289&lt;Simulador!$F$47,C290*Simulador!$F$43,"")</f>
        <v/>
      </c>
      <c r="G290" s="18" t="str">
        <f>IF(B289&lt;Simulador!$F$47,Simulador!$F$45*Simulador!$F$12/12,"")</f>
        <v/>
      </c>
      <c r="H290" s="19" t="str">
        <f>IF(B289&lt;Simulador!$F$47,C290-D290,"")</f>
        <v/>
      </c>
      <c r="I290" s="19" t="str">
        <f>IF(B289&lt;Simulador!$F$47,PMT(Simulador!$F$41+Simulador!$F$43,Simulador!$F$47,-Simulador!$F$37)+G290,"")</f>
        <v/>
      </c>
    </row>
    <row r="291" spans="1:9" ht="17.100000000000001" customHeight="1" x14ac:dyDescent="0.25">
      <c r="A291" s="14"/>
      <c r="B291" s="1" t="str">
        <f>IF(B290&lt;Simulador!$F$47,B290+1,"")</f>
        <v/>
      </c>
      <c r="C291" s="18" t="str">
        <f>IF(B290&lt;Simulador!$F$47,H290,"")</f>
        <v/>
      </c>
      <c r="D291" s="17" t="str">
        <f>IF(Tabla1[[#This Row],[Periodo]]="","",IF(B291&lt;=Simulador!$F$47,PPMT(Simulador!$F$41+Simulador!$F$43,Cronograma!B291,Simulador!$F$47,-Simulador!$F$37),""))</f>
        <v/>
      </c>
      <c r="E291" s="19" t="str">
        <f>IF(B290&lt;Simulador!$F$47,(IPMT(Simulador!$F$41+Simulador!$F$43,Tabla1[[#This Row],[Periodo]],Simulador!$F$47,-Simulador!$F$37)-Tabla1[[#This Row],[Seguro Desgravamen]]),"")</f>
        <v/>
      </c>
      <c r="F291" s="19" t="str">
        <f>IF(B290&lt;Simulador!$F$47,C291*Simulador!$F$43,"")</f>
        <v/>
      </c>
      <c r="G291" s="18" t="str">
        <f>IF(B290&lt;Simulador!$F$47,Simulador!$F$45*Simulador!$F$12/12,"")</f>
        <v/>
      </c>
      <c r="H291" s="19" t="str">
        <f>IF(B290&lt;Simulador!$F$47,C291-D291,"")</f>
        <v/>
      </c>
      <c r="I291" s="19" t="str">
        <f>IF(B290&lt;Simulador!$F$47,PMT(Simulador!$F$41+Simulador!$F$43,Simulador!$F$47,-Simulador!$F$37)+G291,"")</f>
        <v/>
      </c>
    </row>
    <row r="292" spans="1:9" ht="17.100000000000001" customHeight="1" x14ac:dyDescent="0.25">
      <c r="A292" s="14"/>
      <c r="B292" s="1" t="str">
        <f>IF(B291&lt;Simulador!$F$47,B291+1,"")</f>
        <v/>
      </c>
      <c r="C292" s="18" t="str">
        <f>IF(B291&lt;Simulador!$F$47,H291,"")</f>
        <v/>
      </c>
      <c r="D292" s="17" t="str">
        <f>IF(Tabla1[[#This Row],[Periodo]]="","",IF(B292&lt;=Simulador!$F$47,PPMT(Simulador!$F$41+Simulador!$F$43,Cronograma!B292,Simulador!$F$47,-Simulador!$F$37),""))</f>
        <v/>
      </c>
      <c r="E292" s="19" t="str">
        <f>IF(B291&lt;Simulador!$F$47,(IPMT(Simulador!$F$41+Simulador!$F$43,Tabla1[[#This Row],[Periodo]],Simulador!$F$47,-Simulador!$F$37)-Tabla1[[#This Row],[Seguro Desgravamen]]),"")</f>
        <v/>
      </c>
      <c r="F292" s="19" t="str">
        <f>IF(B291&lt;Simulador!$F$47,C292*Simulador!$F$43,"")</f>
        <v/>
      </c>
      <c r="G292" s="18" t="str">
        <f>IF(B291&lt;Simulador!$F$47,Simulador!$F$45*Simulador!$F$12/12,"")</f>
        <v/>
      </c>
      <c r="H292" s="19" t="str">
        <f>IF(B291&lt;Simulador!$F$47,C292-D292,"")</f>
        <v/>
      </c>
      <c r="I292" s="19" t="str">
        <f>IF(B291&lt;Simulador!$F$47,PMT(Simulador!$F$41+Simulador!$F$43,Simulador!$F$47,-Simulador!$F$37)+G292,"")</f>
        <v/>
      </c>
    </row>
    <row r="293" spans="1:9" ht="17.100000000000001" customHeight="1" x14ac:dyDescent="0.25">
      <c r="A293" s="14"/>
      <c r="B293" s="1" t="str">
        <f>IF(B292&lt;Simulador!$F$47,B292+1,"")</f>
        <v/>
      </c>
      <c r="C293" s="18" t="str">
        <f>IF(B292&lt;Simulador!$F$47,H292,"")</f>
        <v/>
      </c>
      <c r="D293" s="17" t="str">
        <f>IF(Tabla1[[#This Row],[Periodo]]="","",IF(B293&lt;=Simulador!$F$47,PPMT(Simulador!$F$41+Simulador!$F$43,Cronograma!B293,Simulador!$F$47,-Simulador!$F$37),""))</f>
        <v/>
      </c>
      <c r="E293" s="19" t="str">
        <f>IF(B292&lt;Simulador!$F$47,(IPMT(Simulador!$F$41+Simulador!$F$43,Tabla1[[#This Row],[Periodo]],Simulador!$F$47,-Simulador!$F$37)-Tabla1[[#This Row],[Seguro Desgravamen]]),"")</f>
        <v/>
      </c>
      <c r="F293" s="19" t="str">
        <f>IF(B292&lt;Simulador!$F$47,C293*Simulador!$F$43,"")</f>
        <v/>
      </c>
      <c r="G293" s="18" t="str">
        <f>IF(B292&lt;Simulador!$F$47,Simulador!$F$45*Simulador!$F$12/12,"")</f>
        <v/>
      </c>
      <c r="H293" s="19" t="str">
        <f>IF(B292&lt;Simulador!$F$47,C293-D293,"")</f>
        <v/>
      </c>
      <c r="I293" s="19" t="str">
        <f>IF(B292&lt;Simulador!$F$47,PMT(Simulador!$F$41+Simulador!$F$43,Simulador!$F$47,-Simulador!$F$37)+G293,"")</f>
        <v/>
      </c>
    </row>
    <row r="294" spans="1:9" ht="17.100000000000001" customHeight="1" x14ac:dyDescent="0.25">
      <c r="A294" s="14"/>
      <c r="B294" s="1" t="str">
        <f>IF(B293&lt;Simulador!$F$47,B293+1,"")</f>
        <v/>
      </c>
      <c r="C294" s="18" t="str">
        <f>IF(B293&lt;Simulador!$F$47,H293,"")</f>
        <v/>
      </c>
      <c r="D294" s="17" t="str">
        <f>IF(Tabla1[[#This Row],[Periodo]]="","",IF(B294&lt;=Simulador!$F$47,PPMT(Simulador!$F$41+Simulador!$F$43,Cronograma!B294,Simulador!$F$47,-Simulador!$F$37),""))</f>
        <v/>
      </c>
      <c r="E294" s="19" t="str">
        <f>IF(B293&lt;Simulador!$F$47,(IPMT(Simulador!$F$41+Simulador!$F$43,Tabla1[[#This Row],[Periodo]],Simulador!$F$47,-Simulador!$F$37)-Tabla1[[#This Row],[Seguro Desgravamen]]),"")</f>
        <v/>
      </c>
      <c r="F294" s="19" t="str">
        <f>IF(B293&lt;Simulador!$F$47,C294*Simulador!$F$43,"")</f>
        <v/>
      </c>
      <c r="G294" s="18" t="str">
        <f>IF(B293&lt;Simulador!$F$47,Simulador!$F$45*Simulador!$F$12/12,"")</f>
        <v/>
      </c>
      <c r="H294" s="19" t="str">
        <f>IF(B293&lt;Simulador!$F$47,C294-D294,"")</f>
        <v/>
      </c>
      <c r="I294" s="19" t="str">
        <f>IF(B293&lt;Simulador!$F$47,PMT(Simulador!$F$41+Simulador!$F$43,Simulador!$F$47,-Simulador!$F$37)+G294,"")</f>
        <v/>
      </c>
    </row>
    <row r="295" spans="1:9" ht="17.100000000000001" customHeight="1" x14ac:dyDescent="0.25">
      <c r="A295" s="14"/>
      <c r="B295" s="1" t="str">
        <f>IF(B294&lt;Simulador!$F$47,B294+1,"")</f>
        <v/>
      </c>
      <c r="C295" s="18" t="str">
        <f>IF(B294&lt;Simulador!$F$47,H294,"")</f>
        <v/>
      </c>
      <c r="D295" s="17" t="str">
        <f>IF(Tabla1[[#This Row],[Periodo]]="","",IF(B295&lt;=Simulador!$F$47,PPMT(Simulador!$F$41+Simulador!$F$43,Cronograma!B295,Simulador!$F$47,-Simulador!$F$37),""))</f>
        <v/>
      </c>
      <c r="E295" s="19" t="str">
        <f>IF(B294&lt;Simulador!$F$47,(IPMT(Simulador!$F$41+Simulador!$F$43,Tabla1[[#This Row],[Periodo]],Simulador!$F$47,-Simulador!$F$37)-Tabla1[[#This Row],[Seguro Desgravamen]]),"")</f>
        <v/>
      </c>
      <c r="F295" s="19" t="str">
        <f>IF(B294&lt;Simulador!$F$47,C295*Simulador!$F$43,"")</f>
        <v/>
      </c>
      <c r="G295" s="18" t="str">
        <f>IF(B294&lt;Simulador!$F$47,Simulador!$F$45*Simulador!$F$12/12,"")</f>
        <v/>
      </c>
      <c r="H295" s="19" t="str">
        <f>IF(B294&lt;Simulador!$F$47,C295-D295,"")</f>
        <v/>
      </c>
      <c r="I295" s="19" t="str">
        <f>IF(B294&lt;Simulador!$F$47,PMT(Simulador!$F$41+Simulador!$F$43,Simulador!$F$47,-Simulador!$F$37)+G295,"")</f>
        <v/>
      </c>
    </row>
    <row r="296" spans="1:9" ht="17.100000000000001" customHeight="1" x14ac:dyDescent="0.25">
      <c r="A296" s="14"/>
      <c r="B296" s="1" t="str">
        <f>IF(B295&lt;Simulador!$F$47,B295+1,"")</f>
        <v/>
      </c>
      <c r="C296" s="18" t="str">
        <f>IF(B295&lt;Simulador!$F$47,H295,"")</f>
        <v/>
      </c>
      <c r="D296" s="17" t="str">
        <f>IF(Tabla1[[#This Row],[Periodo]]="","",IF(B296&lt;=Simulador!$F$47,PPMT(Simulador!$F$41+Simulador!$F$43,Cronograma!B296,Simulador!$F$47,-Simulador!$F$37),""))</f>
        <v/>
      </c>
      <c r="E296" s="19" t="str">
        <f>IF(B295&lt;Simulador!$F$47,(IPMT(Simulador!$F$41+Simulador!$F$43,Tabla1[[#This Row],[Periodo]],Simulador!$F$47,-Simulador!$F$37)-Tabla1[[#This Row],[Seguro Desgravamen]]),"")</f>
        <v/>
      </c>
      <c r="F296" s="19" t="str">
        <f>IF(B295&lt;Simulador!$F$47,C296*Simulador!$F$43,"")</f>
        <v/>
      </c>
      <c r="G296" s="18" t="str">
        <f>IF(B295&lt;Simulador!$F$47,Simulador!$F$45*Simulador!$F$12/12,"")</f>
        <v/>
      </c>
      <c r="H296" s="19" t="str">
        <f>IF(B295&lt;Simulador!$F$47,C296-D296,"")</f>
        <v/>
      </c>
      <c r="I296" s="19" t="str">
        <f>IF(B295&lt;Simulador!$F$47,PMT(Simulador!$F$41+Simulador!$F$43,Simulador!$F$47,-Simulador!$F$37)+G296,"")</f>
        <v/>
      </c>
    </row>
    <row r="297" spans="1:9" ht="17.100000000000001" customHeight="1" x14ac:dyDescent="0.25">
      <c r="A297" s="14"/>
      <c r="B297" s="1" t="str">
        <f>IF(B296&lt;Simulador!$F$47,B296+1,"")</f>
        <v/>
      </c>
      <c r="C297" s="18" t="str">
        <f>IF(B296&lt;Simulador!$F$47,H296,"")</f>
        <v/>
      </c>
      <c r="D297" s="17" t="str">
        <f>IF(Tabla1[[#This Row],[Periodo]]="","",IF(B297&lt;=Simulador!$F$47,PPMT(Simulador!$F$41+Simulador!$F$43,Cronograma!B297,Simulador!$F$47,-Simulador!$F$37),""))</f>
        <v/>
      </c>
      <c r="E297" s="19" t="str">
        <f>IF(B296&lt;Simulador!$F$47,(IPMT(Simulador!$F$41+Simulador!$F$43,Tabla1[[#This Row],[Periodo]],Simulador!$F$47,-Simulador!$F$37)-Tabla1[[#This Row],[Seguro Desgravamen]]),"")</f>
        <v/>
      </c>
      <c r="F297" s="19" t="str">
        <f>IF(B296&lt;Simulador!$F$47,C297*Simulador!$F$43,"")</f>
        <v/>
      </c>
      <c r="G297" s="18" t="str">
        <f>IF(B296&lt;Simulador!$F$47,Simulador!$F$45*Simulador!$F$12/12,"")</f>
        <v/>
      </c>
      <c r="H297" s="19" t="str">
        <f>IF(B296&lt;Simulador!$F$47,C297-D297,"")</f>
        <v/>
      </c>
      <c r="I297" s="19" t="str">
        <f>IF(B296&lt;Simulador!$F$47,PMT(Simulador!$F$41+Simulador!$F$43,Simulador!$F$47,-Simulador!$F$37)+G297,"")</f>
        <v/>
      </c>
    </row>
    <row r="298" spans="1:9" ht="17.100000000000001" customHeight="1" x14ac:dyDescent="0.25">
      <c r="A298" s="14"/>
      <c r="B298" s="1" t="str">
        <f>IF(B297&lt;Simulador!$F$47,B297+1,"")</f>
        <v/>
      </c>
      <c r="C298" s="18" t="str">
        <f>IF(B297&lt;Simulador!$F$47,H297,"")</f>
        <v/>
      </c>
      <c r="D298" s="17" t="str">
        <f>IF(Tabla1[[#This Row],[Periodo]]="","",IF(B298&lt;=Simulador!$F$47,PPMT(Simulador!$F$41+Simulador!$F$43,Cronograma!B298,Simulador!$F$47,-Simulador!$F$37),""))</f>
        <v/>
      </c>
      <c r="E298" s="19" t="str">
        <f>IF(B297&lt;Simulador!$F$47,(IPMT(Simulador!$F$41+Simulador!$F$43,Tabla1[[#This Row],[Periodo]],Simulador!$F$47,-Simulador!$F$37)-Tabla1[[#This Row],[Seguro Desgravamen]]),"")</f>
        <v/>
      </c>
      <c r="F298" s="19" t="str">
        <f>IF(B297&lt;Simulador!$F$47,C298*Simulador!$F$43,"")</f>
        <v/>
      </c>
      <c r="G298" s="18" t="str">
        <f>IF(B297&lt;Simulador!$F$47,Simulador!$F$45*Simulador!$F$12/12,"")</f>
        <v/>
      </c>
      <c r="H298" s="19" t="str">
        <f>IF(B297&lt;Simulador!$F$47,C298-D298,"")</f>
        <v/>
      </c>
      <c r="I298" s="19" t="str">
        <f>IF(B297&lt;Simulador!$F$47,PMT(Simulador!$F$41+Simulador!$F$43,Simulador!$F$47,-Simulador!$F$37)+G298,"")</f>
        <v/>
      </c>
    </row>
    <row r="299" spans="1:9" ht="17.100000000000001" customHeight="1" x14ac:dyDescent="0.25">
      <c r="A299" s="14"/>
      <c r="B299" s="1" t="str">
        <f>IF(B298&lt;Simulador!$F$47,B298+1,"")</f>
        <v/>
      </c>
      <c r="C299" s="18" t="str">
        <f>IF(B298&lt;Simulador!$F$47,H298,"")</f>
        <v/>
      </c>
      <c r="D299" s="17" t="str">
        <f>IF(Tabla1[[#This Row],[Periodo]]="","",IF(B299&lt;=Simulador!$F$47,PPMT(Simulador!$F$41+Simulador!$F$43,Cronograma!B299,Simulador!$F$47,-Simulador!$F$37),""))</f>
        <v/>
      </c>
      <c r="E299" s="19" t="str">
        <f>IF(B298&lt;Simulador!$F$47,(IPMT(Simulador!$F$41+Simulador!$F$43,Tabla1[[#This Row],[Periodo]],Simulador!$F$47,-Simulador!$F$37)-Tabla1[[#This Row],[Seguro Desgravamen]]),"")</f>
        <v/>
      </c>
      <c r="F299" s="19" t="str">
        <f>IF(B298&lt;Simulador!$F$47,C299*Simulador!$F$43,"")</f>
        <v/>
      </c>
      <c r="G299" s="18" t="str">
        <f>IF(B298&lt;Simulador!$F$47,Simulador!$F$45*Simulador!$F$12/12,"")</f>
        <v/>
      </c>
      <c r="H299" s="19" t="str">
        <f>IF(B298&lt;Simulador!$F$47,C299-D299,"")</f>
        <v/>
      </c>
      <c r="I299" s="19" t="str">
        <f>IF(B298&lt;Simulador!$F$47,PMT(Simulador!$F$41+Simulador!$F$43,Simulador!$F$47,-Simulador!$F$37)+G299,"")</f>
        <v/>
      </c>
    </row>
    <row r="300" spans="1:9" ht="17.100000000000001" customHeight="1" x14ac:dyDescent="0.25">
      <c r="A300" s="14"/>
      <c r="B300" s="1" t="str">
        <f>IF(B299&lt;Simulador!$F$47,B299+1,"")</f>
        <v/>
      </c>
      <c r="C300" s="18" t="str">
        <f>IF(B299&lt;Simulador!$F$47,H299,"")</f>
        <v/>
      </c>
      <c r="D300" s="17" t="str">
        <f>IF(Tabla1[[#This Row],[Periodo]]="","",IF(B300&lt;=Simulador!$F$47,PPMT(Simulador!$F$41+Simulador!$F$43,Cronograma!B300,Simulador!$F$47,-Simulador!$F$37),""))</f>
        <v/>
      </c>
      <c r="E300" s="19" t="str">
        <f>IF(B299&lt;Simulador!$F$47,(IPMT(Simulador!$F$41+Simulador!$F$43,Tabla1[[#This Row],[Periodo]],Simulador!$F$47,-Simulador!$F$37)-Tabla1[[#This Row],[Seguro Desgravamen]]),"")</f>
        <v/>
      </c>
      <c r="F300" s="19" t="str">
        <f>IF(B299&lt;Simulador!$F$47,C300*Simulador!$F$43,"")</f>
        <v/>
      </c>
      <c r="G300" s="18" t="str">
        <f>IF(B299&lt;Simulador!$F$47,Simulador!$F$45*Simulador!$F$12/12,"")</f>
        <v/>
      </c>
      <c r="H300" s="19" t="str">
        <f>IF(B299&lt;Simulador!$F$47,C300-D300,"")</f>
        <v/>
      </c>
      <c r="I300" s="19" t="str">
        <f>IF(B299&lt;Simulador!$F$47,PMT(Simulador!$F$41+Simulador!$F$43,Simulador!$F$47,-Simulador!$F$37)+G300,"")</f>
        <v/>
      </c>
    </row>
    <row r="301" spans="1:9" ht="17.100000000000001" customHeight="1" x14ac:dyDescent="0.25">
      <c r="A301" s="14"/>
      <c r="B301" s="1" t="str">
        <f>IF(B300&lt;Simulador!$F$47,B300+1,"")</f>
        <v/>
      </c>
      <c r="C301" s="18" t="str">
        <f>IF(B300&lt;Simulador!$F$47,H300,"")</f>
        <v/>
      </c>
      <c r="D301" s="17" t="str">
        <f>IF(Tabla1[[#This Row],[Periodo]]="","",IF(B301&lt;=Simulador!$F$47,PPMT(Simulador!$F$41+Simulador!$F$43,Cronograma!B301,Simulador!$F$47,-Simulador!$F$37),""))</f>
        <v/>
      </c>
      <c r="E301" s="19" t="str">
        <f>IF(B300&lt;Simulador!$F$47,(IPMT(Simulador!$F$41+Simulador!$F$43,Tabla1[[#This Row],[Periodo]],Simulador!$F$47,-Simulador!$F$37)-Tabla1[[#This Row],[Seguro Desgravamen]]),"")</f>
        <v/>
      </c>
      <c r="F301" s="19" t="str">
        <f>IF(B300&lt;Simulador!$F$47,C301*Simulador!$F$43,"")</f>
        <v/>
      </c>
      <c r="G301" s="18" t="str">
        <f>IF(B300&lt;Simulador!$F$47,Simulador!$F$45*Simulador!$F$12/12,"")</f>
        <v/>
      </c>
      <c r="H301" s="19" t="str">
        <f>IF(B300&lt;Simulador!$F$47,C301-D301,"")</f>
        <v/>
      </c>
      <c r="I301" s="19" t="str">
        <f>IF(B300&lt;Simulador!$F$47,PMT(Simulador!$F$41+Simulador!$F$43,Simulador!$F$47,-Simulador!$F$37)+G301,"")</f>
        <v/>
      </c>
    </row>
    <row r="302" spans="1:9" ht="17.100000000000001" customHeight="1" x14ac:dyDescent="0.25">
      <c r="A302" s="14"/>
      <c r="B302" s="1" t="str">
        <f>IF(B301&lt;Simulador!$F$47,B301+1,"")</f>
        <v/>
      </c>
      <c r="C302" s="18" t="str">
        <f>IF(B301&lt;Simulador!$F$47,H301,"")</f>
        <v/>
      </c>
      <c r="D302" s="17" t="str">
        <f>IF(Tabla1[[#This Row],[Periodo]]="","",IF(B302&lt;=Simulador!$F$47,PPMT(Simulador!$F$41+Simulador!$F$43,Cronograma!B302,Simulador!$F$47,-Simulador!$F$37),""))</f>
        <v/>
      </c>
      <c r="E302" s="19" t="str">
        <f>IF(B301&lt;Simulador!$F$47,(IPMT(Simulador!$F$41+Simulador!$F$43,Tabla1[[#This Row],[Periodo]],Simulador!$F$47,-Simulador!$F$37)-Tabla1[[#This Row],[Seguro Desgravamen]]),"")</f>
        <v/>
      </c>
      <c r="F302" s="19" t="str">
        <f>IF(B301&lt;Simulador!$F$47,C302*Simulador!$F$43,"")</f>
        <v/>
      </c>
      <c r="G302" s="18" t="str">
        <f>IF(B301&lt;Simulador!$F$47,Simulador!$F$45*Simulador!$F$12/12,"")</f>
        <v/>
      </c>
      <c r="H302" s="19" t="str">
        <f>IF(B301&lt;Simulador!$F$47,C302-D302,"")</f>
        <v/>
      </c>
      <c r="I302" s="19" t="str">
        <f>IF(B301&lt;Simulador!$F$47,PMT(Simulador!$F$41+Simulador!$F$43,Simulador!$F$47,-Simulador!$F$37)+G302,"")</f>
        <v/>
      </c>
    </row>
    <row r="303" spans="1:9" ht="17.100000000000001" customHeight="1" x14ac:dyDescent="0.25">
      <c r="A303" s="14"/>
      <c r="B303" s="1" t="str">
        <f>IF(B302&lt;Simulador!$F$47,B302+1,"")</f>
        <v/>
      </c>
      <c r="C303" s="18" t="str">
        <f>IF(B302&lt;Simulador!$F$47,H302,"")</f>
        <v/>
      </c>
      <c r="D303" s="17" t="str">
        <f>IF(Tabla1[[#This Row],[Periodo]]="","",IF(B303&lt;=Simulador!$F$47,PPMT(Simulador!$F$41+Simulador!$F$43,Cronograma!B303,Simulador!$F$47,-Simulador!$F$37),""))</f>
        <v/>
      </c>
      <c r="E303" s="19" t="str">
        <f>IF(B302&lt;Simulador!$F$47,(IPMT(Simulador!$F$41+Simulador!$F$43,Tabla1[[#This Row],[Periodo]],Simulador!$F$47,-Simulador!$F$37)-Tabla1[[#This Row],[Seguro Desgravamen]]),"")</f>
        <v/>
      </c>
      <c r="F303" s="19" t="str">
        <f>IF(B302&lt;Simulador!$F$47,C303*Simulador!$F$43,"")</f>
        <v/>
      </c>
      <c r="G303" s="18" t="str">
        <f>IF(B302&lt;Simulador!$F$47,Simulador!$F$45*Simulador!$F$12/12,"")</f>
        <v/>
      </c>
      <c r="H303" s="19" t="str">
        <f>IF(B302&lt;Simulador!$F$47,C303-D303,"")</f>
        <v/>
      </c>
      <c r="I303" s="19" t="str">
        <f>IF(B302&lt;Simulador!$F$47,PMT(Simulador!$F$41+Simulador!$F$43,Simulador!$F$47,-Simulador!$F$37)+G303,"")</f>
        <v/>
      </c>
    </row>
    <row r="304" spans="1:9" ht="17.100000000000001" customHeight="1" x14ac:dyDescent="0.25">
      <c r="A304" s="14"/>
      <c r="B304" s="1" t="str">
        <f>IF(B303&lt;Simulador!$F$47,B303+1,"")</f>
        <v/>
      </c>
      <c r="C304" s="18" t="str">
        <f>IF(B303&lt;Simulador!$F$47,H303,"")</f>
        <v/>
      </c>
      <c r="D304" s="17" t="str">
        <f>IF(Tabla1[[#This Row],[Periodo]]="","",IF(B304&lt;=Simulador!$F$47,PPMT(Simulador!$F$41+Simulador!$F$43,Cronograma!B304,Simulador!$F$47,-Simulador!$F$37),""))</f>
        <v/>
      </c>
      <c r="E304" s="19" t="str">
        <f>IF(B303&lt;Simulador!$F$47,(IPMT(Simulador!$F$41+Simulador!$F$43,Tabla1[[#This Row],[Periodo]],Simulador!$F$47,-Simulador!$F$37)-Tabla1[[#This Row],[Seguro Desgravamen]]),"")</f>
        <v/>
      </c>
      <c r="F304" s="19" t="str">
        <f>IF(B303&lt;Simulador!$F$47,C304*Simulador!$F$43,"")</f>
        <v/>
      </c>
      <c r="G304" s="18" t="str">
        <f>IF(B303&lt;Simulador!$F$47,Simulador!$F$45*Simulador!$F$12/12,"")</f>
        <v/>
      </c>
      <c r="H304" s="19" t="str">
        <f>IF(B303&lt;Simulador!$F$47,C304-D304,"")</f>
        <v/>
      </c>
      <c r="I304" s="19" t="str">
        <f>IF(B303&lt;Simulador!$F$47,PMT(Simulador!$F$41+Simulador!$F$43,Simulador!$F$47,-Simulador!$F$37)+G304,"")</f>
        <v/>
      </c>
    </row>
    <row r="305" spans="1:9" ht="17.100000000000001" customHeight="1" x14ac:dyDescent="0.25">
      <c r="A305" s="14"/>
      <c r="B305" s="1" t="str">
        <f>IF(B304&lt;Simulador!$F$47,B304+1,"")</f>
        <v/>
      </c>
      <c r="C305" s="18" t="str">
        <f>IF(B304&lt;Simulador!$F$47,H304,"")</f>
        <v/>
      </c>
      <c r="D305" s="17" t="str">
        <f>IF(Tabla1[[#This Row],[Periodo]]="","",IF(B305&lt;=Simulador!$F$47,PPMT(Simulador!$F$41+Simulador!$F$43,Cronograma!B305,Simulador!$F$47,-Simulador!$F$37),""))</f>
        <v/>
      </c>
      <c r="E305" s="19" t="str">
        <f>IF(B304&lt;Simulador!$F$47,(IPMT(Simulador!$F$41+Simulador!$F$43,Tabla1[[#This Row],[Periodo]],Simulador!$F$47,-Simulador!$F$37)-Tabla1[[#This Row],[Seguro Desgravamen]]),"")</f>
        <v/>
      </c>
      <c r="F305" s="19" t="str">
        <f>IF(B304&lt;Simulador!$F$47,C305*Simulador!$F$43,"")</f>
        <v/>
      </c>
      <c r="G305" s="18" t="str">
        <f>IF(B304&lt;Simulador!$F$47,Simulador!$F$45*Simulador!$F$12/12,"")</f>
        <v/>
      </c>
      <c r="H305" s="19" t="str">
        <f>IF(B304&lt;Simulador!$F$47,C305-D305,"")</f>
        <v/>
      </c>
      <c r="I305" s="19" t="str">
        <f>IF(B304&lt;Simulador!$F$47,PMT(Simulador!$F$41+Simulador!$F$43,Simulador!$F$47,-Simulador!$F$37)+G305,"")</f>
        <v/>
      </c>
    </row>
    <row r="306" spans="1:9" ht="17.100000000000001" customHeight="1" x14ac:dyDescent="0.25">
      <c r="A306" s="14"/>
      <c r="B306" s="1" t="str">
        <f>IF(B305&lt;Simulador!$F$47,B305+1,"")</f>
        <v/>
      </c>
      <c r="C306" s="18" t="str">
        <f>IF(B305&lt;Simulador!$F$47,H305,"")</f>
        <v/>
      </c>
      <c r="D306" s="17" t="str">
        <f>IF(Tabla1[[#This Row],[Periodo]]="","",IF(B306&lt;=Simulador!$F$47,PPMT(Simulador!$F$41+Simulador!$F$43,Cronograma!B306,Simulador!$F$47,-Simulador!$F$37),""))</f>
        <v/>
      </c>
      <c r="E306" s="19" t="str">
        <f>IF(B305&lt;Simulador!$F$47,(IPMT(Simulador!$F$41+Simulador!$F$43,Tabla1[[#This Row],[Periodo]],Simulador!$F$47,-Simulador!$F$37)-Tabla1[[#This Row],[Seguro Desgravamen]]),"")</f>
        <v/>
      </c>
      <c r="F306" s="19" t="str">
        <f>IF(B305&lt;Simulador!$F$47,C306*Simulador!$F$43,"")</f>
        <v/>
      </c>
      <c r="G306" s="18" t="str">
        <f>IF(B305&lt;Simulador!$F$47,Simulador!$F$45*Simulador!$F$12/12,"")</f>
        <v/>
      </c>
      <c r="H306" s="19" t="str">
        <f>IF(B305&lt;Simulador!$F$47,C306-D306,"")</f>
        <v/>
      </c>
      <c r="I306" s="19" t="str">
        <f>IF(B305&lt;Simulador!$F$47,PMT(Simulador!$F$41+Simulador!$F$43,Simulador!$F$47,-Simulador!$F$37)+G306,"")</f>
        <v/>
      </c>
    </row>
    <row r="307" spans="1:9" ht="17.100000000000001" customHeight="1" x14ac:dyDescent="0.25">
      <c r="A307" s="14"/>
      <c r="B307" s="1" t="str">
        <f>IF(B306&lt;Simulador!$F$47,B306+1,"")</f>
        <v/>
      </c>
      <c r="C307" s="18" t="str">
        <f>IF(B306&lt;Simulador!$F$47,H306,"")</f>
        <v/>
      </c>
      <c r="D307" s="17" t="str">
        <f>IF(Tabla1[[#This Row],[Periodo]]="","",IF(B307&lt;=Simulador!$F$47,PPMT(Simulador!$F$41+Simulador!$F$43,Cronograma!B307,Simulador!$F$47,-Simulador!$F$37),""))</f>
        <v/>
      </c>
      <c r="E307" s="19" t="str">
        <f>IF(B306&lt;Simulador!$F$47,(IPMT(Simulador!$F$41+Simulador!$F$43,Tabla1[[#This Row],[Periodo]],Simulador!$F$47,-Simulador!$F$37)-Tabla1[[#This Row],[Seguro Desgravamen]]),"")</f>
        <v/>
      </c>
      <c r="F307" s="19" t="str">
        <f>IF(B306&lt;Simulador!$F$47,C307*Simulador!$F$43,"")</f>
        <v/>
      </c>
      <c r="G307" s="18" t="str">
        <f>IF(B306&lt;Simulador!$F$47,Simulador!$F$45*Simulador!$F$12/12,"")</f>
        <v/>
      </c>
      <c r="H307" s="19" t="str">
        <f>IF(B306&lt;Simulador!$F$47,C307-D307,"")</f>
        <v/>
      </c>
      <c r="I307" s="19" t="str">
        <f>IF(B306&lt;Simulador!$F$47,PMT(Simulador!$F$41+Simulador!$F$43,Simulador!$F$47,-Simulador!$F$37)+G307,"")</f>
        <v/>
      </c>
    </row>
    <row r="308" spans="1:9" ht="17.100000000000001" customHeight="1" x14ac:dyDescent="0.25">
      <c r="A308" s="14"/>
      <c r="B308" s="1" t="str">
        <f>IF(B307&lt;Simulador!$F$47,B307+1,"")</f>
        <v/>
      </c>
      <c r="C308" s="18" t="str">
        <f>IF(B307&lt;Simulador!$F$47,H307,"")</f>
        <v/>
      </c>
      <c r="D308" s="17" t="str">
        <f>IF(Tabla1[[#This Row],[Periodo]]="","",IF(B308&lt;=Simulador!$F$47,PPMT(Simulador!$F$41+Simulador!$F$43,Cronograma!B308,Simulador!$F$47,-Simulador!$F$37),""))</f>
        <v/>
      </c>
      <c r="E308" s="19" t="str">
        <f>IF(B307&lt;Simulador!$F$47,(IPMT(Simulador!$F$41+Simulador!$F$43,Tabla1[[#This Row],[Periodo]],Simulador!$F$47,-Simulador!$F$37)-Tabla1[[#This Row],[Seguro Desgravamen]]),"")</f>
        <v/>
      </c>
      <c r="F308" s="19" t="str">
        <f>IF(B307&lt;Simulador!$F$47,C308*Simulador!$F$43,"")</f>
        <v/>
      </c>
      <c r="G308" s="18" t="str">
        <f>IF(B307&lt;Simulador!$F$47,Simulador!$F$45*Simulador!$F$12/12,"")</f>
        <v/>
      </c>
      <c r="H308" s="19" t="str">
        <f>IF(B307&lt;Simulador!$F$47,C308-D308,"")</f>
        <v/>
      </c>
      <c r="I308" s="19" t="str">
        <f>IF(B307&lt;Simulador!$F$47,PMT(Simulador!$F$41+Simulador!$F$43,Simulador!$F$47,-Simulador!$F$37)+G308,"")</f>
        <v/>
      </c>
    </row>
    <row r="309" spans="1:9" ht="17.100000000000001" customHeight="1" x14ac:dyDescent="0.25">
      <c r="A309" s="14"/>
      <c r="B309" s="1" t="str">
        <f>IF(B308&lt;Simulador!$F$47,B308+1,"")</f>
        <v/>
      </c>
      <c r="C309" s="18" t="str">
        <f>IF(B308&lt;Simulador!$F$47,H308,"")</f>
        <v/>
      </c>
      <c r="D309" s="17" t="str">
        <f>IF(Tabla1[[#This Row],[Periodo]]="","",IF(B309&lt;=Simulador!$F$47,PPMT(Simulador!$F$41+Simulador!$F$43,Cronograma!B309,Simulador!$F$47,-Simulador!$F$37),""))</f>
        <v/>
      </c>
      <c r="E309" s="19" t="str">
        <f>IF(B308&lt;Simulador!$F$47,(IPMT(Simulador!$F$41+Simulador!$F$43,Tabla1[[#This Row],[Periodo]],Simulador!$F$47,-Simulador!$F$37)-Tabla1[[#This Row],[Seguro Desgravamen]]),"")</f>
        <v/>
      </c>
      <c r="F309" s="19" t="str">
        <f>IF(B308&lt;Simulador!$F$47,C309*Simulador!$F$43,"")</f>
        <v/>
      </c>
      <c r="G309" s="18" t="str">
        <f>IF(B308&lt;Simulador!$F$47,Simulador!$F$45*Simulador!$F$12/12,"")</f>
        <v/>
      </c>
      <c r="H309" s="19" t="str">
        <f>IF(B308&lt;Simulador!$F$47,C309-D309,"")</f>
        <v/>
      </c>
      <c r="I309" s="19" t="str">
        <f>IF(B308&lt;Simulador!$F$47,PMT(Simulador!$F$41+Simulador!$F$43,Simulador!$F$47,-Simulador!$F$37)+G309,"")</f>
        <v/>
      </c>
    </row>
    <row r="310" spans="1:9" ht="17.100000000000001" customHeight="1" x14ac:dyDescent="0.25">
      <c r="A310" s="14"/>
    </row>
    <row r="311" spans="1:9" ht="17.100000000000001" customHeight="1" x14ac:dyDescent="0.25">
      <c r="A311" s="14"/>
    </row>
    <row r="312" spans="1:9" ht="17.100000000000001" customHeight="1" x14ac:dyDescent="0.25">
      <c r="A312" s="14"/>
    </row>
    <row r="313" spans="1:9" ht="17.100000000000001" customHeight="1" x14ac:dyDescent="0.25">
      <c r="A313" s="14"/>
    </row>
    <row r="314" spans="1:9" ht="17.100000000000001" customHeight="1" x14ac:dyDescent="0.25">
      <c r="A314" s="14"/>
    </row>
    <row r="315" spans="1:9" ht="17.100000000000001" customHeight="1" x14ac:dyDescent="0.25">
      <c r="A315" s="14"/>
    </row>
    <row r="316" spans="1:9" ht="17.100000000000001" customHeight="1" x14ac:dyDescent="0.25">
      <c r="A316" s="14"/>
    </row>
    <row r="317" spans="1:9" ht="17.100000000000001" customHeight="1" x14ac:dyDescent="0.25">
      <c r="A317" s="14"/>
    </row>
    <row r="318" spans="1:9" ht="17.100000000000001" customHeight="1" x14ac:dyDescent="0.25">
      <c r="A318" s="14"/>
    </row>
    <row r="319" spans="1:9" ht="17.100000000000001" customHeight="1" x14ac:dyDescent="0.25">
      <c r="A319" s="14"/>
    </row>
    <row r="320" spans="1:9" ht="17.100000000000001" customHeight="1" x14ac:dyDescent="0.25">
      <c r="A320" s="14"/>
    </row>
    <row r="321" spans="1:1" ht="17.100000000000001" customHeight="1" x14ac:dyDescent="0.25">
      <c r="A321" s="14"/>
    </row>
    <row r="322" spans="1:1" ht="17.100000000000001" customHeight="1" x14ac:dyDescent="0.25">
      <c r="A322" s="14"/>
    </row>
    <row r="323" spans="1:1" ht="17.100000000000001" customHeight="1" x14ac:dyDescent="0.25">
      <c r="A323" s="14"/>
    </row>
    <row r="324" spans="1:1" ht="17.100000000000001" customHeight="1" x14ac:dyDescent="0.25">
      <c r="A324" s="14"/>
    </row>
    <row r="325" spans="1:1" ht="17.100000000000001" customHeight="1" x14ac:dyDescent="0.25">
      <c r="A325" s="14"/>
    </row>
    <row r="326" spans="1:1" ht="17.100000000000001" customHeight="1" x14ac:dyDescent="0.25">
      <c r="A326" s="14"/>
    </row>
    <row r="327" spans="1:1" ht="17.100000000000001" customHeight="1" x14ac:dyDescent="0.25">
      <c r="A327" s="14"/>
    </row>
    <row r="328" spans="1:1" ht="17.100000000000001" customHeight="1" x14ac:dyDescent="0.25">
      <c r="A328" s="14"/>
    </row>
    <row r="329" spans="1:1" ht="17.100000000000001" customHeight="1" x14ac:dyDescent="0.25">
      <c r="A329" s="14"/>
    </row>
    <row r="330" spans="1:1" ht="17.100000000000001" customHeight="1" x14ac:dyDescent="0.25">
      <c r="A330" s="14"/>
    </row>
    <row r="331" spans="1:1" ht="17.100000000000001" customHeight="1" x14ac:dyDescent="0.25">
      <c r="A331" s="14"/>
    </row>
    <row r="332" spans="1:1" ht="17.100000000000001" customHeight="1" x14ac:dyDescent="0.25">
      <c r="A332" s="14"/>
    </row>
    <row r="333" spans="1:1" ht="17.100000000000001" customHeight="1" x14ac:dyDescent="0.25">
      <c r="A333" s="14"/>
    </row>
    <row r="334" spans="1:1" ht="17.100000000000001" customHeight="1" x14ac:dyDescent="0.25">
      <c r="A334" s="14"/>
    </row>
    <row r="335" spans="1:1" ht="17.100000000000001" customHeight="1" x14ac:dyDescent="0.25">
      <c r="A335" s="14"/>
    </row>
    <row r="336" spans="1:1" ht="17.100000000000001" customHeight="1" x14ac:dyDescent="0.25">
      <c r="A336" s="14"/>
    </row>
    <row r="337" spans="1:1" ht="17.100000000000001" customHeight="1" x14ac:dyDescent="0.25">
      <c r="A337" s="14"/>
    </row>
    <row r="338" spans="1:1" ht="17.100000000000001" customHeight="1" x14ac:dyDescent="0.25">
      <c r="A338" s="14"/>
    </row>
    <row r="339" spans="1:1" ht="17.100000000000001" customHeight="1" x14ac:dyDescent="0.25">
      <c r="A339" s="14"/>
    </row>
    <row r="340" spans="1:1" ht="17.100000000000001" customHeight="1" x14ac:dyDescent="0.25">
      <c r="A340" s="14"/>
    </row>
    <row r="341" spans="1:1" ht="17.100000000000001" customHeight="1" x14ac:dyDescent="0.25">
      <c r="A341" s="14"/>
    </row>
    <row r="342" spans="1:1" ht="17.100000000000001" customHeight="1" x14ac:dyDescent="0.25">
      <c r="A342" s="14"/>
    </row>
    <row r="343" spans="1:1" ht="17.100000000000001" customHeight="1" x14ac:dyDescent="0.25">
      <c r="A343" s="14"/>
    </row>
    <row r="344" spans="1:1" ht="17.100000000000001" customHeight="1" x14ac:dyDescent="0.25">
      <c r="A344" s="14"/>
    </row>
    <row r="345" spans="1:1" ht="17.100000000000001" customHeight="1" x14ac:dyDescent="0.25">
      <c r="A345" s="14"/>
    </row>
    <row r="346" spans="1:1" ht="17.100000000000001" customHeight="1" x14ac:dyDescent="0.25">
      <c r="A346" s="14"/>
    </row>
    <row r="347" spans="1:1" ht="17.100000000000001" customHeight="1" x14ac:dyDescent="0.25">
      <c r="A347" s="14"/>
    </row>
    <row r="348" spans="1:1" ht="17.100000000000001" customHeight="1" x14ac:dyDescent="0.25">
      <c r="A348" s="14"/>
    </row>
    <row r="349" spans="1:1" ht="17.100000000000001" customHeight="1" x14ac:dyDescent="0.25">
      <c r="A349" s="14"/>
    </row>
    <row r="350" spans="1:1" ht="17.100000000000001" customHeight="1" x14ac:dyDescent="0.25">
      <c r="A350" s="14"/>
    </row>
    <row r="351" spans="1:1" ht="17.100000000000001" customHeight="1" x14ac:dyDescent="0.25">
      <c r="A351" s="14"/>
    </row>
    <row r="352" spans="1:1" ht="17.100000000000001" customHeight="1" x14ac:dyDescent="0.25">
      <c r="A352" s="14"/>
    </row>
    <row r="353" spans="1:1" ht="17.100000000000001" customHeight="1" x14ac:dyDescent="0.25">
      <c r="A353" s="14"/>
    </row>
    <row r="354" spans="1:1" ht="17.100000000000001" customHeight="1" x14ac:dyDescent="0.25">
      <c r="A354" s="14"/>
    </row>
    <row r="355" spans="1:1" ht="17.100000000000001" customHeight="1" x14ac:dyDescent="0.25">
      <c r="A355" s="14"/>
    </row>
    <row r="356" spans="1:1" ht="17.100000000000001" customHeight="1" x14ac:dyDescent="0.25">
      <c r="A356" s="14"/>
    </row>
    <row r="357" spans="1:1" ht="17.100000000000001" customHeight="1" x14ac:dyDescent="0.25">
      <c r="A357" s="14"/>
    </row>
    <row r="358" spans="1:1" ht="17.100000000000001" customHeight="1" x14ac:dyDescent="0.25">
      <c r="A358" s="14"/>
    </row>
    <row r="359" spans="1:1" ht="17.100000000000001" customHeight="1" x14ac:dyDescent="0.25">
      <c r="A359" s="14"/>
    </row>
    <row r="360" spans="1:1" ht="17.100000000000001" customHeight="1" x14ac:dyDescent="0.25">
      <c r="A360" s="14"/>
    </row>
    <row r="361" spans="1:1" ht="17.100000000000001" customHeight="1" x14ac:dyDescent="0.25">
      <c r="A361" s="14"/>
    </row>
    <row r="362" spans="1:1" ht="17.100000000000001" customHeight="1" x14ac:dyDescent="0.25">
      <c r="A362" s="14"/>
    </row>
    <row r="363" spans="1:1" ht="17.100000000000001" customHeight="1" x14ac:dyDescent="0.25">
      <c r="A363" s="14"/>
    </row>
    <row r="364" spans="1:1" ht="17.100000000000001" customHeight="1" x14ac:dyDescent="0.25">
      <c r="A364" s="14"/>
    </row>
    <row r="365" spans="1:1" ht="17.100000000000001" customHeight="1" x14ac:dyDescent="0.25">
      <c r="A365" s="14"/>
    </row>
    <row r="366" spans="1:1" ht="17.100000000000001" customHeight="1" x14ac:dyDescent="0.25">
      <c r="A366" s="14"/>
    </row>
    <row r="367" spans="1:1" ht="17.100000000000001" customHeight="1" x14ac:dyDescent="0.25">
      <c r="A367" s="14"/>
    </row>
    <row r="368" spans="1:1" ht="17.100000000000001" customHeight="1" x14ac:dyDescent="0.25">
      <c r="A368" s="14"/>
    </row>
    <row r="369" spans="1:1" ht="17.100000000000001" customHeight="1" x14ac:dyDescent="0.25">
      <c r="A369" s="14"/>
    </row>
    <row r="370" spans="1:1" ht="17.100000000000001" customHeight="1" x14ac:dyDescent="0.25">
      <c r="A370" s="14"/>
    </row>
    <row r="371" spans="1:1" ht="17.100000000000001" customHeight="1" x14ac:dyDescent="0.25">
      <c r="A371" s="14"/>
    </row>
    <row r="372" spans="1:1" ht="17.100000000000001" customHeight="1" x14ac:dyDescent="0.25">
      <c r="A372" s="14"/>
    </row>
    <row r="373" spans="1:1" ht="17.100000000000001" customHeight="1" x14ac:dyDescent="0.25">
      <c r="A373" s="14"/>
    </row>
    <row r="374" spans="1:1" ht="17.100000000000001" customHeight="1" x14ac:dyDescent="0.25">
      <c r="A374" s="14"/>
    </row>
    <row r="375" spans="1:1" ht="17.100000000000001" customHeight="1" x14ac:dyDescent="0.25">
      <c r="A375" s="14"/>
    </row>
    <row r="376" spans="1:1" ht="17.100000000000001" customHeight="1" x14ac:dyDescent="0.25">
      <c r="A376" s="14"/>
    </row>
    <row r="377" spans="1:1" ht="17.100000000000001" customHeight="1" x14ac:dyDescent="0.25">
      <c r="A377" s="14"/>
    </row>
    <row r="378" spans="1:1" ht="17.100000000000001" customHeight="1" x14ac:dyDescent="0.25">
      <c r="A378" s="14"/>
    </row>
    <row r="379" spans="1:1" ht="17.100000000000001" customHeight="1" x14ac:dyDescent="0.25">
      <c r="A379" s="14"/>
    </row>
    <row r="380" spans="1:1" ht="17.100000000000001" customHeight="1" x14ac:dyDescent="0.25">
      <c r="A380" s="14"/>
    </row>
    <row r="381" spans="1:1" ht="17.100000000000001" customHeight="1" x14ac:dyDescent="0.25">
      <c r="A381" s="14"/>
    </row>
    <row r="382" spans="1:1" ht="17.100000000000001" customHeight="1" x14ac:dyDescent="0.25">
      <c r="A382" s="14"/>
    </row>
    <row r="383" spans="1:1" ht="17.100000000000001" customHeight="1" x14ac:dyDescent="0.25">
      <c r="A383" s="14"/>
    </row>
    <row r="384" spans="1:1" ht="17.100000000000001" customHeight="1" x14ac:dyDescent="0.25">
      <c r="A384" s="14"/>
    </row>
    <row r="385" spans="1:1" ht="17.100000000000001" customHeight="1" x14ac:dyDescent="0.25">
      <c r="A385" s="14"/>
    </row>
    <row r="386" spans="1:1" ht="17.100000000000001" customHeight="1" x14ac:dyDescent="0.25">
      <c r="A386" s="14"/>
    </row>
    <row r="387" spans="1:1" ht="17.100000000000001" customHeight="1" x14ac:dyDescent="0.25">
      <c r="A387" s="14"/>
    </row>
    <row r="388" spans="1:1" ht="17.100000000000001" customHeight="1" x14ac:dyDescent="0.25">
      <c r="A388" s="14"/>
    </row>
    <row r="389" spans="1:1" ht="17.100000000000001" customHeight="1" x14ac:dyDescent="0.25">
      <c r="A389" s="14"/>
    </row>
    <row r="390" spans="1:1" ht="17.100000000000001" customHeight="1" x14ac:dyDescent="0.25">
      <c r="A390" s="14"/>
    </row>
    <row r="391" spans="1:1" ht="17.100000000000001" customHeight="1" x14ac:dyDescent="0.25">
      <c r="A391" s="14"/>
    </row>
    <row r="392" spans="1:1" ht="17.100000000000001" customHeight="1" x14ac:dyDescent="0.25">
      <c r="A392" s="14"/>
    </row>
    <row r="393" spans="1:1" ht="17.100000000000001" customHeight="1" x14ac:dyDescent="0.25">
      <c r="A393" s="14"/>
    </row>
    <row r="394" spans="1:1" ht="17.100000000000001" customHeight="1" x14ac:dyDescent="0.25">
      <c r="A394" s="14"/>
    </row>
    <row r="395" spans="1:1" ht="17.100000000000001" customHeight="1" x14ac:dyDescent="0.25">
      <c r="A395" s="14"/>
    </row>
    <row r="396" spans="1:1" ht="17.100000000000001" customHeight="1" x14ac:dyDescent="0.25">
      <c r="A396" s="14"/>
    </row>
    <row r="397" spans="1:1" ht="17.100000000000001" customHeight="1" x14ac:dyDescent="0.25">
      <c r="A397" s="14"/>
    </row>
    <row r="398" spans="1:1" ht="17.100000000000001" customHeight="1" x14ac:dyDescent="0.25">
      <c r="A398" s="14"/>
    </row>
    <row r="399" spans="1:1" ht="17.100000000000001" customHeight="1" x14ac:dyDescent="0.25">
      <c r="A399" s="14"/>
    </row>
    <row r="400" spans="1:1" ht="17.100000000000001" customHeight="1" x14ac:dyDescent="0.25">
      <c r="A400" s="14"/>
    </row>
    <row r="401" spans="1:1" ht="17.100000000000001" customHeight="1" x14ac:dyDescent="0.25">
      <c r="A401" s="14"/>
    </row>
    <row r="402" spans="1:1" ht="17.100000000000001" customHeight="1" x14ac:dyDescent="0.25">
      <c r="A402" s="14"/>
    </row>
    <row r="403" spans="1:1" ht="17.100000000000001" customHeight="1" x14ac:dyDescent="0.25">
      <c r="A403" s="14"/>
    </row>
    <row r="404" spans="1:1" ht="17.100000000000001" customHeight="1" x14ac:dyDescent="0.25">
      <c r="A404" s="14"/>
    </row>
    <row r="405" spans="1:1" ht="17.100000000000001" customHeight="1" x14ac:dyDescent="0.25">
      <c r="A405" s="14"/>
    </row>
    <row r="406" spans="1:1" ht="17.100000000000001" customHeight="1" x14ac:dyDescent="0.25">
      <c r="A406" s="14"/>
    </row>
    <row r="407" spans="1:1" ht="17.100000000000001" customHeight="1" x14ac:dyDescent="0.25">
      <c r="A407" s="14"/>
    </row>
    <row r="408" spans="1:1" ht="17.100000000000001" customHeight="1" x14ac:dyDescent="0.25">
      <c r="A408" s="14"/>
    </row>
    <row r="409" spans="1:1" ht="17.100000000000001" customHeight="1" x14ac:dyDescent="0.25">
      <c r="A409" s="14"/>
    </row>
    <row r="410" spans="1:1" ht="17.100000000000001" customHeight="1" x14ac:dyDescent="0.25">
      <c r="A410" s="14"/>
    </row>
    <row r="411" spans="1:1" ht="17.100000000000001" customHeight="1" x14ac:dyDescent="0.25">
      <c r="A411" s="14"/>
    </row>
    <row r="412" spans="1:1" ht="17.100000000000001" customHeight="1" x14ac:dyDescent="0.25">
      <c r="A412" s="14"/>
    </row>
    <row r="413" spans="1:1" ht="17.100000000000001" customHeight="1" x14ac:dyDescent="0.25">
      <c r="A413" s="14"/>
    </row>
    <row r="414" spans="1:1" ht="17.100000000000001" customHeight="1" x14ac:dyDescent="0.25">
      <c r="A414" s="14"/>
    </row>
    <row r="415" spans="1:1" ht="17.100000000000001" customHeight="1" x14ac:dyDescent="0.25">
      <c r="A415" s="14"/>
    </row>
    <row r="416" spans="1:1" ht="17.100000000000001" customHeight="1" x14ac:dyDescent="0.25">
      <c r="A416" s="14"/>
    </row>
    <row r="417" spans="1:1" ht="17.100000000000001" customHeight="1" x14ac:dyDescent="0.25">
      <c r="A417" s="14"/>
    </row>
    <row r="418" spans="1:1" ht="17.100000000000001" customHeight="1" x14ac:dyDescent="0.25">
      <c r="A418" s="14"/>
    </row>
    <row r="419" spans="1:1" ht="17.100000000000001" customHeight="1" x14ac:dyDescent="0.25">
      <c r="A419" s="14"/>
    </row>
    <row r="420" spans="1:1" ht="17.100000000000001" customHeight="1" x14ac:dyDescent="0.25">
      <c r="A420" s="14"/>
    </row>
    <row r="421" spans="1:1" ht="17.100000000000001" customHeight="1" x14ac:dyDescent="0.25">
      <c r="A421" s="14"/>
    </row>
    <row r="422" spans="1:1" ht="17.100000000000001" customHeight="1" x14ac:dyDescent="0.25">
      <c r="A422" s="14"/>
    </row>
    <row r="423" spans="1:1" ht="17.100000000000001" customHeight="1" x14ac:dyDescent="0.25">
      <c r="A423" s="14"/>
    </row>
    <row r="424" spans="1:1" ht="17.100000000000001" customHeight="1" x14ac:dyDescent="0.25">
      <c r="A424" s="14"/>
    </row>
    <row r="425" spans="1:1" ht="17.100000000000001" customHeight="1" x14ac:dyDescent="0.25">
      <c r="A425" s="14"/>
    </row>
    <row r="426" spans="1:1" ht="17.100000000000001" customHeight="1" x14ac:dyDescent="0.25">
      <c r="A426" s="14"/>
    </row>
    <row r="427" spans="1:1" ht="17.100000000000001" customHeight="1" x14ac:dyDescent="0.25">
      <c r="A427" s="14"/>
    </row>
    <row r="428" spans="1:1" ht="17.100000000000001" customHeight="1" x14ac:dyDescent="0.25">
      <c r="A428" s="14"/>
    </row>
    <row r="429" spans="1:1" ht="17.100000000000001" customHeight="1" x14ac:dyDescent="0.25">
      <c r="A429" s="14"/>
    </row>
    <row r="430" spans="1:1" ht="17.100000000000001" customHeight="1" x14ac:dyDescent="0.25">
      <c r="A430" s="14"/>
    </row>
    <row r="431" spans="1:1" ht="17.100000000000001" customHeight="1" x14ac:dyDescent="0.25">
      <c r="A431" s="14"/>
    </row>
    <row r="432" spans="1:1" ht="17.100000000000001" customHeight="1" x14ac:dyDescent="0.25">
      <c r="A432" s="14"/>
    </row>
    <row r="433" spans="1:1" ht="17.100000000000001" customHeight="1" x14ac:dyDescent="0.25">
      <c r="A433" s="14"/>
    </row>
    <row r="434" spans="1:1" ht="17.100000000000001" customHeight="1" x14ac:dyDescent="0.25">
      <c r="A434" s="14"/>
    </row>
    <row r="435" spans="1:1" ht="17.100000000000001" customHeight="1" x14ac:dyDescent="0.25">
      <c r="A435" s="14"/>
    </row>
    <row r="436" spans="1:1" ht="17.100000000000001" customHeight="1" x14ac:dyDescent="0.25">
      <c r="A436" s="14"/>
    </row>
    <row r="437" spans="1:1" ht="17.100000000000001" customHeight="1" x14ac:dyDescent="0.25">
      <c r="A437" s="14"/>
    </row>
    <row r="438" spans="1:1" ht="17.100000000000001" customHeight="1" x14ac:dyDescent="0.25">
      <c r="A438" s="14"/>
    </row>
    <row r="439" spans="1:1" ht="17.100000000000001" customHeight="1" x14ac:dyDescent="0.25">
      <c r="A439" s="14"/>
    </row>
    <row r="440" spans="1:1" ht="17.100000000000001" customHeight="1" x14ac:dyDescent="0.25">
      <c r="A440" s="14"/>
    </row>
    <row r="441" spans="1:1" ht="17.100000000000001" customHeight="1" x14ac:dyDescent="0.25">
      <c r="A441" s="14"/>
    </row>
    <row r="442" spans="1:1" ht="17.100000000000001" customHeight="1" x14ac:dyDescent="0.25">
      <c r="A442" s="14"/>
    </row>
    <row r="443" spans="1:1" ht="17.100000000000001" customHeight="1" x14ac:dyDescent="0.25">
      <c r="A443" s="14"/>
    </row>
    <row r="444" spans="1:1" ht="17.100000000000001" customHeight="1" x14ac:dyDescent="0.25">
      <c r="A444" s="14"/>
    </row>
    <row r="445" spans="1:1" ht="17.100000000000001" customHeight="1" x14ac:dyDescent="0.25">
      <c r="A445" s="14"/>
    </row>
    <row r="446" spans="1:1" ht="17.100000000000001" customHeight="1" x14ac:dyDescent="0.25">
      <c r="A446" s="14"/>
    </row>
    <row r="447" spans="1:1" ht="17.100000000000001" customHeight="1" x14ac:dyDescent="0.25">
      <c r="A447" s="14"/>
    </row>
    <row r="448" spans="1:1" ht="17.100000000000001" customHeight="1" x14ac:dyDescent="0.25">
      <c r="A448" s="14"/>
    </row>
    <row r="449" spans="1:1" ht="17.100000000000001" customHeight="1" x14ac:dyDescent="0.25">
      <c r="A449" s="14"/>
    </row>
    <row r="450" spans="1:1" ht="17.100000000000001" customHeight="1" x14ac:dyDescent="0.25">
      <c r="A450" s="14"/>
    </row>
    <row r="451" spans="1:1" ht="17.100000000000001" customHeight="1" x14ac:dyDescent="0.25">
      <c r="A451" s="14"/>
    </row>
    <row r="452" spans="1:1" ht="17.100000000000001" customHeight="1" x14ac:dyDescent="0.25">
      <c r="A452" s="14"/>
    </row>
    <row r="453" spans="1:1" ht="17.100000000000001" customHeight="1" x14ac:dyDescent="0.25">
      <c r="A453" s="14"/>
    </row>
    <row r="454" spans="1:1" ht="17.100000000000001" customHeight="1" x14ac:dyDescent="0.25">
      <c r="A454" s="14"/>
    </row>
    <row r="455" spans="1:1" ht="17.100000000000001" customHeight="1" x14ac:dyDescent="0.25">
      <c r="A455" s="14"/>
    </row>
    <row r="456" spans="1:1" ht="17.100000000000001" customHeight="1" x14ac:dyDescent="0.25">
      <c r="A456" s="14"/>
    </row>
    <row r="457" spans="1:1" ht="17.100000000000001" customHeight="1" x14ac:dyDescent="0.25">
      <c r="A457" s="14"/>
    </row>
    <row r="458" spans="1:1" ht="17.100000000000001" customHeight="1" x14ac:dyDescent="0.25">
      <c r="A458" s="14"/>
    </row>
    <row r="459" spans="1:1" ht="17.100000000000001" customHeight="1" x14ac:dyDescent="0.25">
      <c r="A459" s="14"/>
    </row>
    <row r="460" spans="1:1" ht="17.100000000000001" customHeight="1" x14ac:dyDescent="0.25">
      <c r="A460" s="14"/>
    </row>
    <row r="461" spans="1:1" ht="17.100000000000001" customHeight="1" x14ac:dyDescent="0.25">
      <c r="A461" s="14"/>
    </row>
    <row r="462" spans="1:1" ht="17.100000000000001" customHeight="1" x14ac:dyDescent="0.25">
      <c r="A462" s="14"/>
    </row>
    <row r="463" spans="1:1" ht="17.100000000000001" customHeight="1" x14ac:dyDescent="0.25">
      <c r="A463" s="14"/>
    </row>
    <row r="464" spans="1:1" ht="17.100000000000001" customHeight="1" x14ac:dyDescent="0.25">
      <c r="A464" s="14"/>
    </row>
    <row r="465" spans="1:1" ht="17.100000000000001" customHeight="1" x14ac:dyDescent="0.25">
      <c r="A465" s="14"/>
    </row>
    <row r="466" spans="1:1" ht="17.100000000000001" customHeight="1" x14ac:dyDescent="0.25">
      <c r="A466" s="14"/>
    </row>
    <row r="467" spans="1:1" ht="17.100000000000001" customHeight="1" x14ac:dyDescent="0.25">
      <c r="A467" s="14"/>
    </row>
    <row r="468" spans="1:1" ht="17.100000000000001" customHeight="1" x14ac:dyDescent="0.25">
      <c r="A468" s="14"/>
    </row>
    <row r="469" spans="1:1" ht="17.100000000000001" customHeight="1" x14ac:dyDescent="0.25">
      <c r="A469" s="14"/>
    </row>
    <row r="470" spans="1:1" ht="17.100000000000001" customHeight="1" x14ac:dyDescent="0.25">
      <c r="A470" s="14"/>
    </row>
    <row r="471" spans="1:1" ht="17.100000000000001" customHeight="1" x14ac:dyDescent="0.25">
      <c r="A471" s="14"/>
    </row>
    <row r="472" spans="1:1" ht="17.100000000000001" customHeight="1" x14ac:dyDescent="0.25">
      <c r="A472" s="14"/>
    </row>
    <row r="473" spans="1:1" ht="17.100000000000001" customHeight="1" x14ac:dyDescent="0.25">
      <c r="A473" s="14"/>
    </row>
    <row r="474" spans="1:1" ht="17.100000000000001" customHeight="1" x14ac:dyDescent="0.25">
      <c r="A474" s="14"/>
    </row>
    <row r="475" spans="1:1" ht="17.100000000000001" customHeight="1" x14ac:dyDescent="0.25">
      <c r="A475" s="14"/>
    </row>
    <row r="476" spans="1:1" ht="17.100000000000001" customHeight="1" x14ac:dyDescent="0.25">
      <c r="A476" s="14"/>
    </row>
    <row r="477" spans="1:1" ht="17.100000000000001" customHeight="1" x14ac:dyDescent="0.25">
      <c r="A477" s="14"/>
    </row>
    <row r="478" spans="1:1" ht="17.100000000000001" customHeight="1" x14ac:dyDescent="0.25">
      <c r="A478" s="14"/>
    </row>
    <row r="479" spans="1:1" ht="17.100000000000001" customHeight="1" x14ac:dyDescent="0.25">
      <c r="A479" s="14"/>
    </row>
    <row r="480" spans="1:1" ht="17.100000000000001" customHeight="1" x14ac:dyDescent="0.25">
      <c r="A480" s="14"/>
    </row>
    <row r="481" spans="1:1" ht="17.100000000000001" customHeight="1" x14ac:dyDescent="0.25">
      <c r="A481" s="14"/>
    </row>
    <row r="482" spans="1:1" ht="17.100000000000001" customHeight="1" x14ac:dyDescent="0.25">
      <c r="A482" s="14"/>
    </row>
    <row r="483" spans="1:1" ht="17.100000000000001" customHeight="1" x14ac:dyDescent="0.25">
      <c r="A483" s="14"/>
    </row>
    <row r="484" spans="1:1" ht="17.100000000000001" customHeight="1" x14ac:dyDescent="0.25">
      <c r="A484" s="14"/>
    </row>
    <row r="485" spans="1:1" ht="17.100000000000001" customHeight="1" x14ac:dyDescent="0.25">
      <c r="A485" s="14"/>
    </row>
    <row r="486" spans="1:1" ht="17.100000000000001" customHeight="1" x14ac:dyDescent="0.25">
      <c r="A486" s="14"/>
    </row>
    <row r="487" spans="1:1" ht="17.100000000000001" customHeight="1" x14ac:dyDescent="0.25">
      <c r="A487" s="14"/>
    </row>
    <row r="488" spans="1:1" ht="17.100000000000001" customHeight="1" x14ac:dyDescent="0.25">
      <c r="A488" s="14"/>
    </row>
    <row r="489" spans="1:1" ht="17.100000000000001" customHeight="1" x14ac:dyDescent="0.25">
      <c r="A489" s="14"/>
    </row>
    <row r="490" spans="1:1" ht="17.100000000000001" customHeight="1" x14ac:dyDescent="0.25">
      <c r="A490" s="14"/>
    </row>
    <row r="491" spans="1:1" ht="17.100000000000001" customHeight="1" x14ac:dyDescent="0.25">
      <c r="A491" s="14"/>
    </row>
    <row r="492" spans="1:1" ht="17.100000000000001" customHeight="1" x14ac:dyDescent="0.25">
      <c r="A492" s="14"/>
    </row>
    <row r="493" spans="1:1" ht="17.100000000000001" customHeight="1" x14ac:dyDescent="0.25">
      <c r="A493" s="14"/>
    </row>
    <row r="494" spans="1:1" ht="17.100000000000001" customHeight="1" x14ac:dyDescent="0.25">
      <c r="A494" s="14"/>
    </row>
    <row r="495" spans="1:1" ht="17.100000000000001" customHeight="1" x14ac:dyDescent="0.25">
      <c r="A495" s="14"/>
    </row>
    <row r="496" spans="1:1" ht="17.100000000000001" customHeight="1" x14ac:dyDescent="0.25">
      <c r="A496" s="14"/>
    </row>
    <row r="497" spans="1:1" ht="17.100000000000001" customHeight="1" x14ac:dyDescent="0.25">
      <c r="A497" s="14"/>
    </row>
    <row r="498" spans="1:1" ht="17.100000000000001" customHeight="1" x14ac:dyDescent="0.25">
      <c r="A498" s="14"/>
    </row>
    <row r="499" spans="1:1" ht="17.100000000000001" customHeight="1" x14ac:dyDescent="0.25">
      <c r="A499" s="14"/>
    </row>
    <row r="500" spans="1:1" ht="17.100000000000001" customHeight="1" x14ac:dyDescent="0.25">
      <c r="A500" s="14"/>
    </row>
    <row r="501" spans="1:1" ht="17.100000000000001" customHeight="1" x14ac:dyDescent="0.25">
      <c r="A501" s="14"/>
    </row>
    <row r="502" spans="1:1" ht="17.100000000000001" customHeight="1" x14ac:dyDescent="0.25">
      <c r="A502" s="14"/>
    </row>
    <row r="503" spans="1:1" ht="17.100000000000001" customHeight="1" x14ac:dyDescent="0.25">
      <c r="A503" s="14"/>
    </row>
    <row r="504" spans="1:1" ht="17.100000000000001" customHeight="1" x14ac:dyDescent="0.25">
      <c r="A504" s="14"/>
    </row>
    <row r="505" spans="1:1" ht="17.100000000000001" customHeight="1" x14ac:dyDescent="0.25">
      <c r="A505" s="14"/>
    </row>
    <row r="506" spans="1:1" ht="17.100000000000001" customHeight="1" x14ac:dyDescent="0.25">
      <c r="A506" s="14"/>
    </row>
    <row r="507" spans="1:1" ht="17.100000000000001" customHeight="1" x14ac:dyDescent="0.25">
      <c r="A507" s="14"/>
    </row>
    <row r="508" spans="1:1" ht="17.100000000000001" customHeight="1" x14ac:dyDescent="0.25">
      <c r="A508" s="14"/>
    </row>
    <row r="509" spans="1:1" ht="17.100000000000001" customHeight="1" x14ac:dyDescent="0.25">
      <c r="A509" s="14"/>
    </row>
    <row r="510" spans="1:1" ht="17.100000000000001" customHeight="1" x14ac:dyDescent="0.25">
      <c r="A510" s="14"/>
    </row>
    <row r="511" spans="1:1" ht="17.100000000000001" customHeight="1" x14ac:dyDescent="0.25">
      <c r="A511" s="14"/>
    </row>
    <row r="512" spans="1:1" ht="17.100000000000001" customHeight="1" x14ac:dyDescent="0.25">
      <c r="A512" s="14"/>
    </row>
    <row r="513" spans="1:1" ht="17.100000000000001" customHeight="1" x14ac:dyDescent="0.25">
      <c r="A513" s="14"/>
    </row>
    <row r="514" spans="1:1" ht="17.100000000000001" customHeight="1" x14ac:dyDescent="0.25">
      <c r="A514" s="14"/>
    </row>
    <row r="515" spans="1:1" ht="17.100000000000001" customHeight="1" x14ac:dyDescent="0.25">
      <c r="A515" s="14"/>
    </row>
    <row r="516" spans="1:1" ht="17.100000000000001" customHeight="1" x14ac:dyDescent="0.25">
      <c r="A516" s="14"/>
    </row>
    <row r="517" spans="1:1" ht="17.100000000000001" customHeight="1" x14ac:dyDescent="0.25">
      <c r="A517" s="14"/>
    </row>
    <row r="518" spans="1:1" ht="17.100000000000001" customHeight="1" x14ac:dyDescent="0.25">
      <c r="A518" s="14"/>
    </row>
    <row r="519" spans="1:1" ht="17.100000000000001" customHeight="1" x14ac:dyDescent="0.25">
      <c r="A519" s="14"/>
    </row>
    <row r="520" spans="1:1" ht="17.100000000000001" customHeight="1" x14ac:dyDescent="0.25">
      <c r="A520" s="14"/>
    </row>
    <row r="521" spans="1:1" ht="17.100000000000001" customHeight="1" x14ac:dyDescent="0.25">
      <c r="A521" s="14"/>
    </row>
    <row r="522" spans="1:1" ht="17.100000000000001" customHeight="1" x14ac:dyDescent="0.25">
      <c r="A522" s="14"/>
    </row>
    <row r="523" spans="1:1" ht="17.100000000000001" customHeight="1" x14ac:dyDescent="0.25">
      <c r="A523" s="14"/>
    </row>
    <row r="524" spans="1:1" ht="17.100000000000001" customHeight="1" x14ac:dyDescent="0.25">
      <c r="A524" s="14"/>
    </row>
    <row r="525" spans="1:1" ht="17.100000000000001" customHeight="1" x14ac:dyDescent="0.25">
      <c r="A525" s="14"/>
    </row>
    <row r="526" spans="1:1" ht="17.100000000000001" customHeight="1" x14ac:dyDescent="0.25">
      <c r="A526" s="14"/>
    </row>
    <row r="527" spans="1:1" ht="17.100000000000001" customHeight="1" x14ac:dyDescent="0.25">
      <c r="A527" s="14"/>
    </row>
    <row r="528" spans="1:1" ht="17.100000000000001" customHeight="1" x14ac:dyDescent="0.25">
      <c r="A528" s="14"/>
    </row>
    <row r="529" spans="1:1" ht="17.100000000000001" customHeight="1" x14ac:dyDescent="0.25">
      <c r="A529" s="14"/>
    </row>
    <row r="530" spans="1:1" ht="17.100000000000001" customHeight="1" x14ac:dyDescent="0.25">
      <c r="A530" s="14"/>
    </row>
    <row r="531" spans="1:1" ht="17.100000000000001" customHeight="1" x14ac:dyDescent="0.25">
      <c r="A531" s="14"/>
    </row>
    <row r="532" spans="1:1" ht="17.100000000000001" customHeight="1" x14ac:dyDescent="0.25">
      <c r="A532" s="14"/>
    </row>
    <row r="533" spans="1:1" ht="17.100000000000001" customHeight="1" x14ac:dyDescent="0.25">
      <c r="A533" s="14"/>
    </row>
    <row r="534" spans="1:1" ht="17.100000000000001" customHeight="1" x14ac:dyDescent="0.25">
      <c r="A534" s="14"/>
    </row>
    <row r="535" spans="1:1" ht="17.100000000000001" customHeight="1" x14ac:dyDescent="0.25">
      <c r="A535" s="14"/>
    </row>
    <row r="536" spans="1:1" ht="17.100000000000001" customHeight="1" x14ac:dyDescent="0.25">
      <c r="A536" s="14"/>
    </row>
    <row r="537" spans="1:1" ht="17.100000000000001" customHeight="1" x14ac:dyDescent="0.25">
      <c r="A537" s="14"/>
    </row>
    <row r="538" spans="1:1" ht="17.100000000000001" customHeight="1" x14ac:dyDescent="0.25">
      <c r="A538" s="14"/>
    </row>
    <row r="539" spans="1:1" ht="17.100000000000001" customHeight="1" x14ac:dyDescent="0.25">
      <c r="A539" s="14"/>
    </row>
    <row r="540" spans="1:1" ht="17.100000000000001" customHeight="1" x14ac:dyDescent="0.25">
      <c r="A540" s="14"/>
    </row>
    <row r="541" spans="1:1" ht="17.100000000000001" customHeight="1" x14ac:dyDescent="0.25">
      <c r="A541" s="14"/>
    </row>
    <row r="542" spans="1:1" ht="17.100000000000001" customHeight="1" x14ac:dyDescent="0.25">
      <c r="A542" s="14"/>
    </row>
    <row r="543" spans="1:1" ht="17.100000000000001" customHeight="1" x14ac:dyDescent="0.25">
      <c r="A543" s="14"/>
    </row>
    <row r="544" spans="1:1" ht="17.100000000000001" customHeight="1" x14ac:dyDescent="0.25">
      <c r="A544" s="14"/>
    </row>
    <row r="545" spans="1:1" ht="17.100000000000001" customHeight="1" x14ac:dyDescent="0.25">
      <c r="A545" s="14"/>
    </row>
    <row r="546" spans="1:1" ht="17.100000000000001" customHeight="1" x14ac:dyDescent="0.25">
      <c r="A546" s="14"/>
    </row>
    <row r="547" spans="1:1" ht="17.100000000000001" customHeight="1" x14ac:dyDescent="0.25">
      <c r="A547" s="14"/>
    </row>
    <row r="548" spans="1:1" ht="17.100000000000001" customHeight="1" x14ac:dyDescent="0.25">
      <c r="A548" s="14"/>
    </row>
    <row r="549" spans="1:1" ht="17.100000000000001" customHeight="1" x14ac:dyDescent="0.25">
      <c r="A549" s="14"/>
    </row>
    <row r="550" spans="1:1" ht="17.100000000000001" customHeight="1" x14ac:dyDescent="0.25">
      <c r="A550" s="14"/>
    </row>
    <row r="551" spans="1:1" ht="17.100000000000001" customHeight="1" x14ac:dyDescent="0.25">
      <c r="A551" s="14"/>
    </row>
    <row r="552" spans="1:1" ht="17.100000000000001" customHeight="1" x14ac:dyDescent="0.25">
      <c r="A552" s="14"/>
    </row>
    <row r="553" spans="1:1" ht="17.100000000000001" customHeight="1" x14ac:dyDescent="0.25">
      <c r="A553" s="14"/>
    </row>
    <row r="554" spans="1:1" ht="17.100000000000001" customHeight="1" x14ac:dyDescent="0.25">
      <c r="A554" s="14"/>
    </row>
    <row r="555" spans="1:1" ht="17.100000000000001" customHeight="1" x14ac:dyDescent="0.25">
      <c r="A555" s="14"/>
    </row>
    <row r="556" spans="1:1" ht="17.100000000000001" customHeight="1" x14ac:dyDescent="0.25">
      <c r="A556" s="14"/>
    </row>
    <row r="557" spans="1:1" ht="17.100000000000001" customHeight="1" x14ac:dyDescent="0.25">
      <c r="A557" s="14"/>
    </row>
    <row r="558" spans="1:1" ht="17.100000000000001" customHeight="1" x14ac:dyDescent="0.25">
      <c r="A558" s="14"/>
    </row>
    <row r="559" spans="1:1" ht="17.100000000000001" customHeight="1" x14ac:dyDescent="0.25">
      <c r="A559" s="14"/>
    </row>
    <row r="560" spans="1:1" ht="17.100000000000001" customHeight="1" x14ac:dyDescent="0.25">
      <c r="A560" s="14"/>
    </row>
    <row r="561" spans="1:1" ht="17.100000000000001" customHeight="1" x14ac:dyDescent="0.25">
      <c r="A561" s="14"/>
    </row>
    <row r="562" spans="1:1" ht="17.100000000000001" customHeight="1" x14ac:dyDescent="0.25">
      <c r="A562" s="14"/>
    </row>
    <row r="563" spans="1:1" ht="17.100000000000001" customHeight="1" x14ac:dyDescent="0.25">
      <c r="A563" s="14"/>
    </row>
    <row r="564" spans="1:1" ht="17.100000000000001" customHeight="1" x14ac:dyDescent="0.25">
      <c r="A564" s="14"/>
    </row>
    <row r="565" spans="1:1" ht="17.100000000000001" customHeight="1" x14ac:dyDescent="0.25">
      <c r="A565" s="14"/>
    </row>
    <row r="566" spans="1:1" ht="17.100000000000001" customHeight="1" x14ac:dyDescent="0.25">
      <c r="A566" s="14"/>
    </row>
    <row r="567" spans="1:1" ht="17.100000000000001" customHeight="1" x14ac:dyDescent="0.25">
      <c r="A567" s="14"/>
    </row>
    <row r="568" spans="1:1" ht="17.100000000000001" customHeight="1" x14ac:dyDescent="0.25">
      <c r="A568" s="14"/>
    </row>
    <row r="569" spans="1:1" ht="17.100000000000001" customHeight="1" x14ac:dyDescent="0.25">
      <c r="A569" s="14"/>
    </row>
    <row r="570" spans="1:1" ht="17.100000000000001" customHeight="1" x14ac:dyDescent="0.25">
      <c r="A570" s="14"/>
    </row>
    <row r="571" spans="1:1" ht="17.100000000000001" customHeight="1" x14ac:dyDescent="0.25">
      <c r="A571" s="14"/>
    </row>
    <row r="572" spans="1:1" ht="17.100000000000001" customHeight="1" x14ac:dyDescent="0.25">
      <c r="A572" s="14"/>
    </row>
    <row r="573" spans="1:1" ht="17.100000000000001" customHeight="1" x14ac:dyDescent="0.25">
      <c r="A573" s="14"/>
    </row>
    <row r="574" spans="1:1" ht="17.100000000000001" customHeight="1" x14ac:dyDescent="0.25">
      <c r="A574" s="14"/>
    </row>
    <row r="575" spans="1:1" ht="17.100000000000001" customHeight="1" x14ac:dyDescent="0.25">
      <c r="A575" s="14"/>
    </row>
    <row r="576" spans="1:1" ht="17.100000000000001" customHeight="1" x14ac:dyDescent="0.25">
      <c r="A576" s="14"/>
    </row>
    <row r="577" spans="1:1" ht="17.100000000000001" customHeight="1" x14ac:dyDescent="0.25">
      <c r="A577" s="14"/>
    </row>
    <row r="578" spans="1:1" ht="17.100000000000001" customHeight="1" x14ac:dyDescent="0.25">
      <c r="A578" s="14"/>
    </row>
    <row r="579" spans="1:1" ht="17.100000000000001" customHeight="1" x14ac:dyDescent="0.25">
      <c r="A579" s="14"/>
    </row>
    <row r="580" spans="1:1" ht="17.100000000000001" customHeight="1" x14ac:dyDescent="0.25">
      <c r="A580" s="14"/>
    </row>
    <row r="581" spans="1:1" ht="17.100000000000001" customHeight="1" x14ac:dyDescent="0.25">
      <c r="A581" s="14"/>
    </row>
    <row r="582" spans="1:1" ht="17.100000000000001" customHeight="1" x14ac:dyDescent="0.25">
      <c r="A582" s="14"/>
    </row>
    <row r="583" spans="1:1" ht="17.100000000000001" customHeight="1" x14ac:dyDescent="0.25">
      <c r="A583" s="14"/>
    </row>
    <row r="584" spans="1:1" ht="17.100000000000001" customHeight="1" x14ac:dyDescent="0.25">
      <c r="A584" s="14"/>
    </row>
    <row r="585" spans="1:1" ht="17.100000000000001" customHeight="1" x14ac:dyDescent="0.25">
      <c r="A585" s="14"/>
    </row>
    <row r="586" spans="1:1" ht="17.100000000000001" customHeight="1" x14ac:dyDescent="0.25">
      <c r="A586" s="14"/>
    </row>
    <row r="587" spans="1:1" ht="17.100000000000001" customHeight="1" x14ac:dyDescent="0.25">
      <c r="A587" s="14"/>
    </row>
    <row r="588" spans="1:1" ht="17.100000000000001" customHeight="1" x14ac:dyDescent="0.25">
      <c r="A588" s="14"/>
    </row>
    <row r="589" spans="1:1" ht="17.100000000000001" customHeight="1" x14ac:dyDescent="0.25">
      <c r="A589" s="14"/>
    </row>
    <row r="590" spans="1:1" ht="17.100000000000001" customHeight="1" x14ac:dyDescent="0.25">
      <c r="A590" s="14"/>
    </row>
    <row r="591" spans="1:1" ht="17.100000000000001" customHeight="1" x14ac:dyDescent="0.25">
      <c r="A591" s="14"/>
    </row>
    <row r="592" spans="1:1" ht="17.100000000000001" customHeight="1" x14ac:dyDescent="0.25">
      <c r="A592" s="14"/>
    </row>
    <row r="593" spans="1:1" ht="17.100000000000001" customHeight="1" x14ac:dyDescent="0.25">
      <c r="A593" s="14"/>
    </row>
    <row r="594" spans="1:1" ht="17.100000000000001" customHeight="1" x14ac:dyDescent="0.25">
      <c r="A594" s="14"/>
    </row>
    <row r="595" spans="1:1" ht="17.100000000000001" customHeight="1" x14ac:dyDescent="0.25">
      <c r="A595" s="14"/>
    </row>
    <row r="596" spans="1:1" ht="17.100000000000001" customHeight="1" x14ac:dyDescent="0.25">
      <c r="A596" s="14"/>
    </row>
    <row r="597" spans="1:1" ht="17.100000000000001" customHeight="1" x14ac:dyDescent="0.25">
      <c r="A597" s="14"/>
    </row>
    <row r="598" spans="1:1" ht="17.100000000000001" customHeight="1" x14ac:dyDescent="0.25">
      <c r="A598" s="14"/>
    </row>
    <row r="599" spans="1:1" ht="17.100000000000001" customHeight="1" x14ac:dyDescent="0.25">
      <c r="A599" s="14"/>
    </row>
    <row r="600" spans="1:1" ht="17.100000000000001" customHeight="1" x14ac:dyDescent="0.25">
      <c r="A600" s="14"/>
    </row>
    <row r="601" spans="1:1" ht="17.100000000000001" customHeight="1" x14ac:dyDescent="0.25">
      <c r="A601" s="14"/>
    </row>
    <row r="602" spans="1:1" ht="17.100000000000001" customHeight="1" x14ac:dyDescent="0.25">
      <c r="A602" s="14"/>
    </row>
    <row r="603" spans="1:1" ht="17.100000000000001" customHeight="1" x14ac:dyDescent="0.25">
      <c r="A603" s="14"/>
    </row>
    <row r="604" spans="1:1" ht="17.100000000000001" customHeight="1" x14ac:dyDescent="0.25">
      <c r="A604" s="14"/>
    </row>
    <row r="605" spans="1:1" ht="17.100000000000001" customHeight="1" x14ac:dyDescent="0.25">
      <c r="A605" s="14"/>
    </row>
    <row r="606" spans="1:1" ht="17.100000000000001" customHeight="1" x14ac:dyDescent="0.25">
      <c r="A606" s="14"/>
    </row>
    <row r="607" spans="1:1" ht="17.100000000000001" customHeight="1" x14ac:dyDescent="0.25">
      <c r="A607" s="14"/>
    </row>
    <row r="608" spans="1:1" ht="17.100000000000001" customHeight="1" x14ac:dyDescent="0.25">
      <c r="A608" s="14"/>
    </row>
    <row r="609" spans="1:1" ht="17.100000000000001" customHeight="1" x14ac:dyDescent="0.25">
      <c r="A609" s="14"/>
    </row>
    <row r="610" spans="1:1" ht="17.100000000000001" customHeight="1" x14ac:dyDescent="0.25">
      <c r="A610" s="14"/>
    </row>
    <row r="611" spans="1:1" ht="17.100000000000001" customHeight="1" x14ac:dyDescent="0.25">
      <c r="A611" s="14"/>
    </row>
    <row r="612" spans="1:1" ht="17.100000000000001" customHeight="1" x14ac:dyDescent="0.25">
      <c r="A612" s="14"/>
    </row>
    <row r="613" spans="1:1" ht="17.100000000000001" customHeight="1" x14ac:dyDescent="0.25">
      <c r="A613" s="14"/>
    </row>
    <row r="614" spans="1:1" ht="17.100000000000001" customHeight="1" x14ac:dyDescent="0.25">
      <c r="A614" s="14"/>
    </row>
    <row r="615" spans="1:1" ht="17.100000000000001" customHeight="1" x14ac:dyDescent="0.25">
      <c r="A615" s="14"/>
    </row>
    <row r="616" spans="1:1" ht="17.100000000000001" customHeight="1" x14ac:dyDescent="0.25">
      <c r="A616" s="14"/>
    </row>
    <row r="617" spans="1:1" ht="17.100000000000001" customHeight="1" x14ac:dyDescent="0.25">
      <c r="A617" s="14"/>
    </row>
    <row r="618" spans="1:1" ht="17.100000000000001" customHeight="1" x14ac:dyDescent="0.25">
      <c r="A618" s="14"/>
    </row>
    <row r="619" spans="1:1" ht="17.100000000000001" customHeight="1" x14ac:dyDescent="0.25">
      <c r="A619" s="14"/>
    </row>
    <row r="620" spans="1:1" ht="17.100000000000001" customHeight="1" x14ac:dyDescent="0.25">
      <c r="A620" s="14"/>
    </row>
    <row r="621" spans="1:1" ht="17.100000000000001" customHeight="1" x14ac:dyDescent="0.25">
      <c r="A621" s="14"/>
    </row>
    <row r="622" spans="1:1" ht="17.100000000000001" customHeight="1" x14ac:dyDescent="0.25">
      <c r="A622" s="14"/>
    </row>
    <row r="623" spans="1:1" ht="17.100000000000001" customHeight="1" x14ac:dyDescent="0.25">
      <c r="A623" s="14"/>
    </row>
    <row r="624" spans="1:1" ht="17.100000000000001" customHeight="1" x14ac:dyDescent="0.25">
      <c r="A624" s="14"/>
    </row>
    <row r="625" spans="1:1" ht="17.100000000000001" customHeight="1" x14ac:dyDescent="0.25">
      <c r="A625" s="14"/>
    </row>
    <row r="626" spans="1:1" ht="17.100000000000001" customHeight="1" x14ac:dyDescent="0.25">
      <c r="A626" s="14"/>
    </row>
    <row r="627" spans="1:1" ht="17.100000000000001" customHeight="1" x14ac:dyDescent="0.25">
      <c r="A627" s="14"/>
    </row>
    <row r="628" spans="1:1" ht="17.100000000000001" customHeight="1" x14ac:dyDescent="0.25">
      <c r="A628" s="14"/>
    </row>
    <row r="629" spans="1:1" ht="17.100000000000001" customHeight="1" x14ac:dyDescent="0.25">
      <c r="A629" s="14"/>
    </row>
    <row r="630" spans="1:1" ht="17.100000000000001" customHeight="1" x14ac:dyDescent="0.25">
      <c r="A630" s="14"/>
    </row>
    <row r="631" spans="1:1" ht="17.100000000000001" customHeight="1" x14ac:dyDescent="0.25">
      <c r="A631" s="14"/>
    </row>
    <row r="632" spans="1:1" ht="17.100000000000001" customHeight="1" x14ac:dyDescent="0.25">
      <c r="A632" s="14"/>
    </row>
    <row r="633" spans="1:1" ht="17.100000000000001" customHeight="1" x14ac:dyDescent="0.25">
      <c r="A633" s="14"/>
    </row>
    <row r="634" spans="1:1" ht="17.100000000000001" customHeight="1" x14ac:dyDescent="0.25">
      <c r="A634" s="14"/>
    </row>
    <row r="635" spans="1:1" ht="17.100000000000001" customHeight="1" x14ac:dyDescent="0.25">
      <c r="A635" s="14"/>
    </row>
    <row r="636" spans="1:1" ht="17.100000000000001" customHeight="1" x14ac:dyDescent="0.25">
      <c r="A636" s="14"/>
    </row>
    <row r="637" spans="1:1" ht="17.100000000000001" customHeight="1" x14ac:dyDescent="0.25">
      <c r="A637" s="14"/>
    </row>
    <row r="638" spans="1:1" ht="17.100000000000001" customHeight="1" x14ac:dyDescent="0.25">
      <c r="A638" s="14"/>
    </row>
    <row r="639" spans="1:1" ht="17.100000000000001" customHeight="1" x14ac:dyDescent="0.25">
      <c r="A639" s="14"/>
    </row>
    <row r="640" spans="1:1" ht="17.100000000000001" customHeight="1" x14ac:dyDescent="0.25">
      <c r="A640" s="14"/>
    </row>
    <row r="641" spans="1:1" ht="17.100000000000001" customHeight="1" x14ac:dyDescent="0.25">
      <c r="A641" s="14"/>
    </row>
    <row r="642" spans="1:1" ht="17.100000000000001" customHeight="1" x14ac:dyDescent="0.25">
      <c r="A642" s="14"/>
    </row>
    <row r="643" spans="1:1" ht="17.100000000000001" customHeight="1" x14ac:dyDescent="0.25">
      <c r="A643" s="14"/>
    </row>
    <row r="644" spans="1:1" ht="17.100000000000001" customHeight="1" x14ac:dyDescent="0.25">
      <c r="A644" s="14"/>
    </row>
    <row r="645" spans="1:1" ht="17.100000000000001" customHeight="1" x14ac:dyDescent="0.25">
      <c r="A645" s="14"/>
    </row>
    <row r="646" spans="1:1" ht="17.100000000000001" customHeight="1" x14ac:dyDescent="0.25">
      <c r="A646" s="14"/>
    </row>
    <row r="647" spans="1:1" ht="17.100000000000001" customHeight="1" x14ac:dyDescent="0.25">
      <c r="A647" s="14"/>
    </row>
    <row r="648" spans="1:1" ht="17.100000000000001" customHeight="1" x14ac:dyDescent="0.25">
      <c r="A648" s="14"/>
    </row>
    <row r="649" spans="1:1" ht="17.100000000000001" customHeight="1" x14ac:dyDescent="0.25">
      <c r="A649" s="14"/>
    </row>
    <row r="650" spans="1:1" ht="17.100000000000001" customHeight="1" x14ac:dyDescent="0.25">
      <c r="A650" s="14"/>
    </row>
    <row r="651" spans="1:1" ht="17.100000000000001" customHeight="1" x14ac:dyDescent="0.25">
      <c r="A651" s="14"/>
    </row>
    <row r="652" spans="1:1" ht="17.100000000000001" customHeight="1" x14ac:dyDescent="0.25">
      <c r="A652" s="14"/>
    </row>
    <row r="653" spans="1:1" ht="17.100000000000001" customHeight="1" x14ac:dyDescent="0.25">
      <c r="A653" s="14"/>
    </row>
    <row r="654" spans="1:1" ht="17.100000000000001" customHeight="1" x14ac:dyDescent="0.25">
      <c r="A654" s="14"/>
    </row>
    <row r="655" spans="1:1" ht="17.100000000000001" customHeight="1" x14ac:dyDescent="0.25">
      <c r="A655" s="14"/>
    </row>
    <row r="656" spans="1:1" ht="17.100000000000001" customHeight="1" x14ac:dyDescent="0.25">
      <c r="A656" s="14"/>
    </row>
    <row r="657" spans="1:1" ht="17.100000000000001" customHeight="1" x14ac:dyDescent="0.25">
      <c r="A657" s="14"/>
    </row>
    <row r="658" spans="1:1" ht="17.100000000000001" customHeight="1" x14ac:dyDescent="0.25">
      <c r="A658" s="14"/>
    </row>
    <row r="659" spans="1:1" ht="17.100000000000001" customHeight="1" x14ac:dyDescent="0.25">
      <c r="A659" s="14"/>
    </row>
    <row r="660" spans="1:1" ht="17.100000000000001" customHeight="1" x14ac:dyDescent="0.25">
      <c r="A660" s="14"/>
    </row>
    <row r="661" spans="1:1" ht="17.100000000000001" customHeight="1" x14ac:dyDescent="0.25">
      <c r="A661" s="14"/>
    </row>
    <row r="662" spans="1:1" ht="17.100000000000001" customHeight="1" x14ac:dyDescent="0.25">
      <c r="A662" s="14"/>
    </row>
    <row r="663" spans="1:1" ht="17.100000000000001" customHeight="1" x14ac:dyDescent="0.25">
      <c r="A663" s="14"/>
    </row>
    <row r="664" spans="1:1" ht="17.100000000000001" customHeight="1" x14ac:dyDescent="0.25">
      <c r="A664" s="14"/>
    </row>
    <row r="665" spans="1:1" ht="17.100000000000001" customHeight="1" x14ac:dyDescent="0.25">
      <c r="A665" s="14"/>
    </row>
    <row r="666" spans="1:1" ht="17.100000000000001" customHeight="1" x14ac:dyDescent="0.25">
      <c r="A666" s="14"/>
    </row>
    <row r="667" spans="1:1" ht="17.100000000000001" customHeight="1" x14ac:dyDescent="0.25">
      <c r="A667" s="14"/>
    </row>
    <row r="668" spans="1:1" ht="17.100000000000001" customHeight="1" x14ac:dyDescent="0.25">
      <c r="A668" s="14"/>
    </row>
    <row r="669" spans="1:1" ht="17.100000000000001" customHeight="1" x14ac:dyDescent="0.25">
      <c r="A669" s="14"/>
    </row>
    <row r="670" spans="1:1" ht="17.100000000000001" customHeight="1" x14ac:dyDescent="0.25">
      <c r="A670" s="14"/>
    </row>
    <row r="671" spans="1:1" ht="17.100000000000001" customHeight="1" x14ac:dyDescent="0.25">
      <c r="A671" s="14"/>
    </row>
    <row r="672" spans="1:1" ht="17.100000000000001" customHeight="1" x14ac:dyDescent="0.25">
      <c r="A672" s="14"/>
    </row>
    <row r="673" spans="1:1" ht="17.100000000000001" customHeight="1" x14ac:dyDescent="0.25">
      <c r="A673" s="14"/>
    </row>
    <row r="674" spans="1:1" ht="17.100000000000001" customHeight="1" x14ac:dyDescent="0.25">
      <c r="A674" s="14"/>
    </row>
    <row r="675" spans="1:1" ht="17.100000000000001" customHeight="1" x14ac:dyDescent="0.25">
      <c r="A675" s="14"/>
    </row>
    <row r="676" spans="1:1" ht="17.100000000000001" customHeight="1" x14ac:dyDescent="0.25">
      <c r="A676" s="14"/>
    </row>
    <row r="677" spans="1:1" ht="17.100000000000001" customHeight="1" x14ac:dyDescent="0.25">
      <c r="A677" s="14"/>
    </row>
    <row r="678" spans="1:1" ht="17.100000000000001" customHeight="1" x14ac:dyDescent="0.25">
      <c r="A678" s="14"/>
    </row>
    <row r="679" spans="1:1" ht="17.100000000000001" customHeight="1" x14ac:dyDescent="0.25">
      <c r="A679" s="14"/>
    </row>
    <row r="680" spans="1:1" ht="17.100000000000001" customHeight="1" x14ac:dyDescent="0.25">
      <c r="A680" s="14"/>
    </row>
    <row r="681" spans="1:1" ht="17.100000000000001" customHeight="1" x14ac:dyDescent="0.25">
      <c r="A681" s="14"/>
    </row>
    <row r="682" spans="1:1" ht="17.100000000000001" customHeight="1" x14ac:dyDescent="0.25">
      <c r="A682" s="14"/>
    </row>
    <row r="683" spans="1:1" ht="17.100000000000001" customHeight="1" x14ac:dyDescent="0.25">
      <c r="A683" s="14"/>
    </row>
    <row r="684" spans="1:1" ht="17.100000000000001" customHeight="1" x14ac:dyDescent="0.25">
      <c r="A684" s="14"/>
    </row>
    <row r="685" spans="1:1" ht="17.100000000000001" customHeight="1" x14ac:dyDescent="0.25">
      <c r="A685" s="14"/>
    </row>
    <row r="686" spans="1:1" ht="17.100000000000001" customHeight="1" x14ac:dyDescent="0.25">
      <c r="A686" s="14"/>
    </row>
    <row r="687" spans="1:1" ht="17.100000000000001" customHeight="1" x14ac:dyDescent="0.25">
      <c r="A687" s="14"/>
    </row>
    <row r="688" spans="1:1" ht="17.100000000000001" customHeight="1" x14ac:dyDescent="0.25">
      <c r="A688" s="14"/>
    </row>
    <row r="689" spans="1:1" ht="17.100000000000001" customHeight="1" x14ac:dyDescent="0.25">
      <c r="A689" s="14"/>
    </row>
    <row r="690" spans="1:1" ht="17.100000000000001" customHeight="1" x14ac:dyDescent="0.25">
      <c r="A690" s="14"/>
    </row>
    <row r="691" spans="1:1" ht="17.100000000000001" customHeight="1" x14ac:dyDescent="0.25">
      <c r="A691" s="14"/>
    </row>
    <row r="692" spans="1:1" ht="17.100000000000001" customHeight="1" x14ac:dyDescent="0.25">
      <c r="A692" s="14"/>
    </row>
    <row r="693" spans="1:1" ht="17.100000000000001" customHeight="1" x14ac:dyDescent="0.25">
      <c r="A693" s="14"/>
    </row>
    <row r="694" spans="1:1" ht="17.100000000000001" customHeight="1" x14ac:dyDescent="0.25">
      <c r="A694" s="14"/>
    </row>
    <row r="695" spans="1:1" ht="17.100000000000001" customHeight="1" x14ac:dyDescent="0.25">
      <c r="A695" s="14"/>
    </row>
    <row r="696" spans="1:1" ht="17.100000000000001" customHeight="1" x14ac:dyDescent="0.25">
      <c r="A696" s="14"/>
    </row>
    <row r="697" spans="1:1" ht="17.100000000000001" customHeight="1" x14ac:dyDescent="0.25">
      <c r="A697" s="14"/>
    </row>
    <row r="698" spans="1:1" ht="17.100000000000001" customHeight="1" x14ac:dyDescent="0.25">
      <c r="A698" s="14"/>
    </row>
    <row r="699" spans="1:1" ht="17.100000000000001" customHeight="1" x14ac:dyDescent="0.25">
      <c r="A699" s="14"/>
    </row>
    <row r="700" spans="1:1" ht="17.100000000000001" customHeight="1" x14ac:dyDescent="0.25">
      <c r="A700" s="14"/>
    </row>
    <row r="701" spans="1:1" ht="17.100000000000001" customHeight="1" x14ac:dyDescent="0.25">
      <c r="A701" s="14"/>
    </row>
    <row r="702" spans="1:1" ht="17.100000000000001" customHeight="1" x14ac:dyDescent="0.25">
      <c r="A702" s="14"/>
    </row>
    <row r="703" spans="1:1" ht="17.100000000000001" customHeight="1" x14ac:dyDescent="0.25">
      <c r="A703" s="14"/>
    </row>
    <row r="704" spans="1:1" ht="17.100000000000001" customHeight="1" x14ac:dyDescent="0.25">
      <c r="A704" s="14"/>
    </row>
    <row r="705" spans="1:1" ht="17.100000000000001" customHeight="1" x14ac:dyDescent="0.25">
      <c r="A705" s="14"/>
    </row>
    <row r="706" spans="1:1" ht="17.100000000000001" customHeight="1" x14ac:dyDescent="0.25">
      <c r="A706" s="14"/>
    </row>
    <row r="707" spans="1:1" ht="17.100000000000001" customHeight="1" x14ac:dyDescent="0.25">
      <c r="A707" s="14"/>
    </row>
    <row r="708" spans="1:1" ht="17.100000000000001" customHeight="1" x14ac:dyDescent="0.25">
      <c r="A708" s="14"/>
    </row>
    <row r="709" spans="1:1" ht="17.100000000000001" customHeight="1" x14ac:dyDescent="0.25">
      <c r="A709" s="14"/>
    </row>
    <row r="710" spans="1:1" ht="17.100000000000001" customHeight="1" x14ac:dyDescent="0.25">
      <c r="A710" s="14"/>
    </row>
    <row r="711" spans="1:1" ht="17.100000000000001" customHeight="1" x14ac:dyDescent="0.25">
      <c r="A711" s="14"/>
    </row>
    <row r="712" spans="1:1" ht="17.100000000000001" customHeight="1" x14ac:dyDescent="0.25">
      <c r="A712" s="14"/>
    </row>
    <row r="713" spans="1:1" ht="17.100000000000001" customHeight="1" x14ac:dyDescent="0.25">
      <c r="A713" s="14"/>
    </row>
    <row r="714" spans="1:1" ht="17.100000000000001" customHeight="1" x14ac:dyDescent="0.25">
      <c r="A714" s="14"/>
    </row>
    <row r="715" spans="1:1" ht="17.100000000000001" customHeight="1" x14ac:dyDescent="0.25">
      <c r="A715" s="14"/>
    </row>
    <row r="716" spans="1:1" ht="17.100000000000001" customHeight="1" x14ac:dyDescent="0.25">
      <c r="A716" s="14"/>
    </row>
    <row r="717" spans="1:1" ht="17.100000000000001" customHeight="1" x14ac:dyDescent="0.25">
      <c r="A717" s="14"/>
    </row>
    <row r="718" spans="1:1" ht="17.100000000000001" customHeight="1" x14ac:dyDescent="0.25">
      <c r="A718" s="14"/>
    </row>
    <row r="719" spans="1:1" ht="17.100000000000001" customHeight="1" x14ac:dyDescent="0.25">
      <c r="A719" s="14"/>
    </row>
    <row r="720" spans="1:1" ht="17.100000000000001" customHeight="1" x14ac:dyDescent="0.25">
      <c r="A720" s="14"/>
    </row>
    <row r="721" spans="1:1" ht="17.100000000000001" customHeight="1" x14ac:dyDescent="0.25">
      <c r="A721" s="14"/>
    </row>
    <row r="722" spans="1:1" ht="17.100000000000001" customHeight="1" x14ac:dyDescent="0.25">
      <c r="A722" s="14"/>
    </row>
    <row r="723" spans="1:1" ht="17.100000000000001" customHeight="1" x14ac:dyDescent="0.25">
      <c r="A723" s="14"/>
    </row>
    <row r="724" spans="1:1" ht="17.100000000000001" customHeight="1" x14ac:dyDescent="0.25">
      <c r="A724" s="14"/>
    </row>
    <row r="725" spans="1:1" ht="17.100000000000001" customHeight="1" x14ac:dyDescent="0.25">
      <c r="A725" s="14"/>
    </row>
    <row r="726" spans="1:1" ht="17.100000000000001" customHeight="1" x14ac:dyDescent="0.25">
      <c r="A726" s="14"/>
    </row>
    <row r="727" spans="1:1" ht="17.100000000000001" customHeight="1" x14ac:dyDescent="0.25">
      <c r="A727" s="14"/>
    </row>
    <row r="728" spans="1:1" ht="17.100000000000001" customHeight="1" x14ac:dyDescent="0.25">
      <c r="A728" s="14"/>
    </row>
    <row r="729" spans="1:1" ht="17.100000000000001" customHeight="1" x14ac:dyDescent="0.25">
      <c r="A729" s="14"/>
    </row>
    <row r="730" spans="1:1" ht="17.100000000000001" customHeight="1" x14ac:dyDescent="0.25">
      <c r="A730" s="14"/>
    </row>
    <row r="731" spans="1:1" ht="17.100000000000001" customHeight="1" x14ac:dyDescent="0.25">
      <c r="A731" s="14"/>
    </row>
    <row r="732" spans="1:1" ht="17.100000000000001" customHeight="1" x14ac:dyDescent="0.25">
      <c r="A732" s="14"/>
    </row>
    <row r="733" spans="1:1" ht="17.100000000000001" customHeight="1" x14ac:dyDescent="0.25">
      <c r="A733" s="14"/>
    </row>
    <row r="734" spans="1:1" ht="17.100000000000001" customHeight="1" x14ac:dyDescent="0.25">
      <c r="A734" s="14"/>
    </row>
    <row r="735" spans="1:1" ht="17.100000000000001" customHeight="1" x14ac:dyDescent="0.25">
      <c r="A735" s="14"/>
    </row>
    <row r="736" spans="1:1" ht="17.100000000000001" customHeight="1" x14ac:dyDescent="0.25">
      <c r="A736" s="14"/>
    </row>
  </sheetData>
  <sheetProtection algorithmName="SHA-512" hashValue="ZyaPoXLDLms1x5VDyWTDlFwlq0qaVpXdxGFpjri/I1EUQwSpUcvQtBA3OJJgxFLrRasxrW+DNrh+T2pImPOgBA==" saltValue="9QpnVxXFGvIqunEFyDPHqA==" spinCount="100000" sheet="1" selectLockedCells="1"/>
  <mergeCells count="2">
    <mergeCell ref="D1:H3"/>
    <mergeCell ref="K8:N11"/>
  </mergeCells>
  <conditionalFormatting sqref="B9:F9 H9:I9 B10:I309">
    <cfRule type="expression" dxfId="12" priority="3">
      <formula>B9&lt;&gt;""</formula>
    </cfRule>
  </conditionalFormatting>
  <conditionalFormatting sqref="G9">
    <cfRule type="expression" dxfId="11" priority="1">
      <formula>G9&lt;&gt;""</formula>
    </cfRule>
  </conditionalFormatting>
  <hyperlinks>
    <hyperlink ref="K8:N11" r:id="rId1" display="https://www.mivivienda.com.pe/PORTALWEB/promotores-constructores/pagina.aspx?idpage=68" xr:uid="{00000000-0004-0000-0100-000000000000}"/>
  </hyperlinks>
  <pageMargins left="0.7" right="0.7" top="0.75" bottom="0.75" header="0.3" footer="0.3"/>
  <pageSetup paperSize="9" orientation="portrait" r:id="rId2"/>
  <ignoredErrors>
    <ignoredError sqref="D9:F9 D10:I188 C9:C188 C189:I195 C196:I271 C272:I309" calculatedColumn="1"/>
    <ignoredError sqref="K8" unlockedFormula="1"/>
  </ignoredErrors>
  <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6F5A0B77-D736-4DD5-82AB-858BED8AAB54}">
            <xm:f>Simulador!$F$53&lt;&gt;""</xm:f>
            <x14:dxf>
              <font>
                <b/>
                <i val="0"/>
                <strike val="0"/>
                <u/>
                <color theme="0"/>
              </font>
              <fill>
                <patternFill patternType="solid">
                  <fgColor auto="1"/>
                  <bgColor rgb="FF92D05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Simulador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Nuñez Torres, Katherine Grace;lgonzalesm@mivivienda.com.pe</dc:creator>
  <cp:lastModifiedBy>Nuñez Torres, Katherine Grace</cp:lastModifiedBy>
  <dcterms:created xsi:type="dcterms:W3CDTF">2018-05-14T19:52:07Z</dcterms:created>
  <dcterms:modified xsi:type="dcterms:W3CDTF">2022-05-16T20:25:11Z</dcterms:modified>
</cp:coreProperties>
</file>